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tabRatio="500"/>
  </bookViews>
  <sheets>
    <sheet name="Plana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6" i="1" l="1"/>
  <c r="D19" i="1"/>
  <c r="D26" i="1"/>
  <c r="D29" i="1"/>
  <c r="D34" i="1"/>
  <c r="D33" i="1" s="1"/>
  <c r="D32" i="1" s="1"/>
  <c r="D39" i="1"/>
  <c r="D38" i="1" s="1"/>
  <c r="D45" i="1"/>
  <c r="D47" i="1"/>
  <c r="D51" i="1"/>
  <c r="D50" i="1" s="1"/>
  <c r="D49" i="1" s="1"/>
  <c r="D60" i="1"/>
  <c r="D62" i="1"/>
  <c r="D69" i="1"/>
  <c r="D68" i="1" s="1"/>
  <c r="D81" i="1"/>
  <c r="D83" i="1"/>
  <c r="D90" i="1"/>
  <c r="D92" i="1"/>
  <c r="D98" i="1"/>
  <c r="D103" i="1"/>
  <c r="D106" i="1"/>
  <c r="D109" i="1"/>
  <c r="D111" i="1"/>
  <c r="D116" i="1"/>
  <c r="D119" i="1"/>
  <c r="D122" i="1"/>
  <c r="D124" i="1"/>
  <c r="D128" i="1"/>
  <c r="D130" i="1"/>
  <c r="D132" i="1"/>
  <c r="D136" i="1"/>
  <c r="D141" i="1"/>
  <c r="D145" i="1"/>
  <c r="D149" i="1"/>
  <c r="D148" i="1" s="1"/>
  <c r="D154" i="1"/>
  <c r="D159" i="1"/>
  <c r="D161" i="1"/>
  <c r="D163" i="1"/>
  <c r="D166" i="1"/>
  <c r="D168" i="1"/>
  <c r="D170" i="1"/>
  <c r="D173" i="1"/>
  <c r="D176" i="1"/>
  <c r="D175" i="1" s="1"/>
  <c r="D178" i="1"/>
  <c r="D182" i="1"/>
  <c r="D181" i="1" s="1"/>
  <c r="D180" i="1" s="1"/>
  <c r="D188" i="1"/>
  <c r="D187" i="1" s="1"/>
  <c r="D195" i="1"/>
  <c r="D197" i="1"/>
  <c r="D200" i="1"/>
  <c r="D203" i="1"/>
  <c r="D207" i="1"/>
  <c r="D211" i="1"/>
  <c r="D217" i="1"/>
  <c r="D223" i="1"/>
  <c r="D229" i="1"/>
  <c r="D235" i="1"/>
  <c r="D238" i="1"/>
  <c r="D244" i="1"/>
  <c r="D249" i="1"/>
  <c r="D255" i="1"/>
  <c r="D259" i="1"/>
  <c r="D263" i="1"/>
  <c r="D266" i="1"/>
  <c r="D269" i="1"/>
  <c r="D272" i="1"/>
  <c r="D279" i="1"/>
  <c r="D282" i="1"/>
  <c r="D284" i="1"/>
  <c r="D288" i="1"/>
  <c r="D292" i="1"/>
  <c r="D291" i="1" s="1"/>
  <c r="D303" i="1"/>
  <c r="D301" i="1" s="1"/>
  <c r="D307" i="1"/>
  <c r="D306" i="1" s="1"/>
  <c r="D313" i="1"/>
  <c r="D312" i="1" s="1"/>
  <c r="D317" i="1"/>
  <c r="D326" i="1"/>
  <c r="D332" i="1"/>
  <c r="D335" i="1"/>
  <c r="D340" i="1"/>
  <c r="D347" i="1"/>
  <c r="D344" i="1" s="1"/>
  <c r="D350" i="1"/>
  <c r="D357" i="1"/>
  <c r="D363" i="1"/>
  <c r="D367" i="1"/>
  <c r="D372" i="1"/>
  <c r="D370" i="1" s="1"/>
  <c r="D375" i="1"/>
  <c r="D374" i="1" s="1"/>
  <c r="D384" i="1"/>
  <c r="D383" i="1" s="1"/>
  <c r="D392" i="1"/>
  <c r="D394" i="1"/>
  <c r="D396" i="1"/>
  <c r="D402" i="1"/>
  <c r="D404" i="1"/>
  <c r="D410" i="1"/>
  <c r="D417" i="1"/>
  <c r="D421" i="1"/>
  <c r="D426" i="1"/>
  <c r="D440" i="1"/>
  <c r="D452" i="1"/>
  <c r="D456" i="1"/>
  <c r="D460" i="1"/>
  <c r="D464" i="1"/>
  <c r="D470" i="1"/>
  <c r="D469" i="1" s="1"/>
  <c r="D468" i="1" s="1"/>
  <c r="D482" i="1"/>
  <c r="D491" i="1"/>
  <c r="D502" i="1"/>
  <c r="D506" i="1"/>
  <c r="D511" i="1"/>
  <c r="D517" i="1"/>
  <c r="D524" i="1"/>
  <c r="D528" i="1"/>
  <c r="D533" i="1"/>
  <c r="D541" i="1"/>
  <c r="D543" i="1"/>
  <c r="D546" i="1"/>
  <c r="D555" i="1"/>
  <c r="D561" i="1"/>
  <c r="D563" i="1"/>
  <c r="D568" i="1"/>
  <c r="D567" i="1" s="1"/>
  <c r="D571" i="1"/>
  <c r="D576" i="1"/>
  <c r="D579" i="1"/>
  <c r="D584" i="1"/>
  <c r="D587" i="1"/>
  <c r="D591" i="1"/>
  <c r="D595" i="1"/>
  <c r="D597" i="1"/>
  <c r="D601" i="1"/>
  <c r="D609" i="1"/>
  <c r="D612" i="1"/>
  <c r="D616" i="1"/>
  <c r="D625" i="1"/>
  <c r="D628" i="1"/>
  <c r="D637" i="1"/>
  <c r="D645" i="1"/>
  <c r="D648" i="1"/>
  <c r="D653" i="1"/>
  <c r="D658" i="1"/>
  <c r="D663" i="1"/>
  <c r="D666" i="1"/>
  <c r="D670" i="1"/>
  <c r="D675" i="1"/>
  <c r="D681" i="1"/>
  <c r="D685" i="1"/>
  <c r="D691" i="1"/>
  <c r="D690" i="1" s="1"/>
  <c r="D695" i="1"/>
  <c r="D694" i="1" s="1"/>
  <c r="D699" i="1"/>
  <c r="D702" i="1"/>
  <c r="D705" i="1"/>
  <c r="D710" i="1"/>
  <c r="D713" i="1"/>
  <c r="D712" i="1" s="1"/>
  <c r="D717" i="1"/>
  <c r="D716" i="1" s="1"/>
  <c r="D715" i="1" s="1"/>
  <c r="D723" i="1"/>
  <c r="D721" i="1" s="1"/>
  <c r="D727" i="1"/>
  <c r="D726" i="1" s="1"/>
  <c r="D735" i="1"/>
  <c r="D734" i="1" s="1"/>
  <c r="D739" i="1"/>
  <c r="D738" i="1" s="1"/>
  <c r="D737" i="1" s="1"/>
  <c r="D747" i="1"/>
  <c r="D758" i="1"/>
  <c r="D778" i="1"/>
  <c r="D780" i="1"/>
  <c r="D761" i="1" s="1"/>
  <c r="D786" i="1"/>
  <c r="D791" i="1"/>
  <c r="D793" i="1"/>
  <c r="D797" i="1"/>
  <c r="D801" i="1"/>
  <c r="D803" i="1"/>
  <c r="D805" i="1"/>
  <c r="D809" i="1"/>
  <c r="D814" i="1"/>
  <c r="D819" i="1"/>
  <c r="D824" i="1"/>
  <c r="D823" i="1" s="1"/>
  <c r="D834" i="1"/>
  <c r="D847" i="1"/>
  <c r="D409" i="1" l="1"/>
  <c r="D15" i="1"/>
  <c r="D14" i="1" s="1"/>
  <c r="D391" i="1"/>
  <c r="D331" i="1"/>
  <c r="D746" i="1"/>
  <c r="D608" i="1"/>
  <c r="D497" i="1"/>
  <c r="D494" i="1" s="1"/>
  <c r="D481" i="1"/>
  <c r="D480" i="1" s="1"/>
  <c r="D165" i="1"/>
  <c r="D97" i="1"/>
  <c r="D95" i="1" s="1"/>
  <c r="D43" i="1"/>
  <c r="D680" i="1"/>
  <c r="D140" i="1"/>
  <c r="D57" i="1"/>
  <c r="D720" i="1"/>
  <c r="D539" i="1"/>
  <c r="D538" i="1" s="1"/>
  <c r="D439" i="1"/>
  <c r="D438" i="1" s="1"/>
  <c r="D194" i="1"/>
  <c r="D153" i="1"/>
  <c r="D115" i="1"/>
  <c r="D80" i="1"/>
  <c r="D79" i="1" s="1"/>
  <c r="D356" i="1"/>
  <c r="D353" i="1" s="1"/>
  <c r="D206" i="1"/>
  <c r="D851" i="1"/>
  <c r="D813" i="1"/>
  <c r="D812" i="1" s="1"/>
  <c r="D800" i="1"/>
  <c r="D784" i="1"/>
  <c r="D615" i="1"/>
  <c r="D605" i="1" s="1"/>
  <c r="D604" i="1" s="1"/>
  <c r="D590" i="1"/>
  <c r="D589" i="1" s="1"/>
  <c r="D570" i="1"/>
  <c r="D554" i="1"/>
  <c r="D420" i="1"/>
  <c r="D407" i="1" s="1"/>
  <c r="D400" i="1"/>
  <c r="D339" i="1"/>
  <c r="D338" i="1" s="1"/>
  <c r="D316" i="1"/>
  <c r="D309" i="1" s="1"/>
  <c r="D795" i="1"/>
  <c r="D743" i="1"/>
  <c r="D299" i="1"/>
  <c r="D254" i="1"/>
  <c r="D253" i="1" s="1"/>
  <c r="D127" i="1"/>
  <c r="D381" i="1"/>
  <c r="D55" i="1"/>
  <c r="D186" i="1"/>
  <c r="D185" i="1" s="1"/>
  <c r="D13" i="1"/>
  <c r="G826" i="1"/>
  <c r="G825" i="1"/>
  <c r="G822" i="1"/>
  <c r="G821" i="1"/>
  <c r="G820" i="1"/>
  <c r="G817" i="1"/>
  <c r="G816" i="1"/>
  <c r="G815" i="1"/>
  <c r="G808" i="1"/>
  <c r="G807" i="1"/>
  <c r="G806" i="1"/>
  <c r="G802" i="1"/>
  <c r="G798" i="1"/>
  <c r="G794" i="1"/>
  <c r="G790" i="1"/>
  <c r="G789" i="1"/>
  <c r="G788" i="1"/>
  <c r="G787" i="1"/>
  <c r="G783" i="1"/>
  <c r="G782" i="1"/>
  <c r="G779" i="1"/>
  <c r="G777" i="1"/>
  <c r="G776" i="1"/>
  <c r="G774" i="1"/>
  <c r="G773" i="1"/>
  <c r="G772" i="1"/>
  <c r="G771" i="1"/>
  <c r="G770" i="1"/>
  <c r="G769" i="1"/>
  <c r="G768" i="1"/>
  <c r="G767" i="1"/>
  <c r="G766" i="1"/>
  <c r="G765" i="1"/>
  <c r="G764" i="1"/>
  <c r="G763" i="1"/>
  <c r="G762" i="1"/>
  <c r="G760" i="1"/>
  <c r="G751" i="1"/>
  <c r="G750" i="1"/>
  <c r="G749" i="1"/>
  <c r="G748" i="1"/>
  <c r="G741" i="1"/>
  <c r="G736" i="1"/>
  <c r="G733" i="1"/>
  <c r="G732" i="1"/>
  <c r="G731" i="1"/>
  <c r="G730" i="1"/>
  <c r="G729" i="1"/>
  <c r="G728" i="1"/>
  <c r="G725" i="1"/>
  <c r="G724" i="1"/>
  <c r="G722" i="1"/>
  <c r="G719" i="1"/>
  <c r="G718" i="1"/>
  <c r="G714" i="1"/>
  <c r="G711" i="1"/>
  <c r="G709" i="1"/>
  <c r="G708" i="1"/>
  <c r="G706" i="1"/>
  <c r="G704" i="1"/>
  <c r="G703" i="1"/>
  <c r="G701" i="1"/>
  <c r="G700" i="1"/>
  <c r="G698" i="1"/>
  <c r="G697" i="1"/>
  <c r="G696" i="1"/>
  <c r="G693" i="1"/>
  <c r="G692" i="1"/>
  <c r="G688" i="1"/>
  <c r="G687" i="1"/>
  <c r="G686" i="1"/>
  <c r="G682" i="1"/>
  <c r="G679" i="1"/>
  <c r="G676" i="1"/>
  <c r="G674" i="1"/>
  <c r="G673" i="1"/>
  <c r="G672" i="1"/>
  <c r="G671" i="1"/>
  <c r="G668" i="1"/>
  <c r="G667" i="1"/>
  <c r="G665" i="1"/>
  <c r="G664" i="1"/>
  <c r="G660" i="1"/>
  <c r="G659" i="1"/>
  <c r="G657" i="1"/>
  <c r="G656" i="1"/>
  <c r="G655" i="1"/>
  <c r="G654" i="1"/>
  <c r="G652" i="1"/>
  <c r="G651" i="1"/>
  <c r="G650" i="1"/>
  <c r="G649" i="1"/>
  <c r="G647" i="1"/>
  <c r="G646" i="1"/>
  <c r="G644" i="1"/>
  <c r="G643" i="1"/>
  <c r="G642" i="1"/>
  <c r="G641" i="1"/>
  <c r="G640" i="1"/>
  <c r="G639" i="1"/>
  <c r="G638" i="1"/>
  <c r="G636" i="1"/>
  <c r="G635" i="1"/>
  <c r="G634" i="1"/>
  <c r="G633" i="1"/>
  <c r="G632" i="1"/>
  <c r="G631" i="1"/>
  <c r="G630" i="1"/>
  <c r="G629" i="1"/>
  <c r="G627" i="1"/>
  <c r="G626" i="1"/>
  <c r="G624" i="1"/>
  <c r="G623" i="1"/>
  <c r="G622" i="1"/>
  <c r="G621" i="1"/>
  <c r="G620" i="1"/>
  <c r="G619" i="1"/>
  <c r="G618" i="1"/>
  <c r="G617" i="1"/>
  <c r="G613" i="1"/>
  <c r="G611" i="1"/>
  <c r="G603" i="1"/>
  <c r="G602" i="1"/>
  <c r="G600" i="1"/>
  <c r="G599" i="1"/>
  <c r="G598" i="1"/>
  <c r="G596" i="1"/>
  <c r="G593" i="1"/>
  <c r="G592" i="1"/>
  <c r="G588" i="1"/>
  <c r="G580" i="1"/>
  <c r="G578" i="1"/>
  <c r="G577" i="1"/>
  <c r="G575" i="1"/>
  <c r="G574" i="1"/>
  <c r="G573" i="1"/>
  <c r="G572" i="1"/>
  <c r="G569" i="1"/>
  <c r="G566" i="1"/>
  <c r="G565" i="1"/>
  <c r="G564" i="1"/>
  <c r="G562" i="1"/>
  <c r="G560" i="1"/>
  <c r="G559" i="1"/>
  <c r="G558" i="1"/>
  <c r="G557" i="1"/>
  <c r="G556" i="1"/>
  <c r="G549" i="1"/>
  <c r="G548" i="1"/>
  <c r="G547" i="1"/>
  <c r="G545" i="1"/>
  <c r="G542" i="1"/>
  <c r="G540" i="1"/>
  <c r="G535" i="1"/>
  <c r="G534" i="1"/>
  <c r="G532" i="1"/>
  <c r="G531" i="1"/>
  <c r="G530" i="1"/>
  <c r="G529" i="1"/>
  <c r="G527" i="1"/>
  <c r="G526" i="1"/>
  <c r="G525" i="1"/>
  <c r="G518" i="1"/>
  <c r="G514" i="1"/>
  <c r="G513" i="1"/>
  <c r="G512" i="1"/>
  <c r="G510" i="1"/>
  <c r="G509" i="1"/>
  <c r="G508" i="1"/>
  <c r="G507" i="1"/>
  <c r="G504" i="1"/>
  <c r="G503" i="1"/>
  <c r="G493" i="1"/>
  <c r="G492" i="1"/>
  <c r="G490" i="1"/>
  <c r="G489" i="1"/>
  <c r="G488" i="1"/>
  <c r="G487" i="1"/>
  <c r="G486" i="1"/>
  <c r="G485" i="1"/>
  <c r="G484" i="1"/>
  <c r="G483" i="1"/>
  <c r="G479" i="1"/>
  <c r="G478" i="1"/>
  <c r="G477" i="1"/>
  <c r="G476" i="1"/>
  <c r="G475" i="1"/>
  <c r="G474" i="1"/>
  <c r="G473" i="1"/>
  <c r="G472" i="1"/>
  <c r="G471" i="1"/>
  <c r="G467" i="1"/>
  <c r="G466" i="1"/>
  <c r="G465" i="1"/>
  <c r="G462" i="1"/>
  <c r="G461" i="1"/>
  <c r="G459" i="1"/>
  <c r="G458" i="1"/>
  <c r="G457" i="1"/>
  <c r="G455" i="1"/>
  <c r="G454" i="1"/>
  <c r="G453" i="1"/>
  <c r="G448" i="1"/>
  <c r="G447" i="1"/>
  <c r="G446" i="1"/>
  <c r="G445" i="1"/>
  <c r="G444" i="1"/>
  <c r="G443" i="1"/>
  <c r="G442" i="1"/>
  <c r="G441" i="1"/>
  <c r="G425" i="1"/>
  <c r="G423" i="1"/>
  <c r="G422" i="1"/>
  <c r="G419" i="1"/>
  <c r="G418" i="1"/>
  <c r="G411" i="1"/>
  <c r="G405" i="1"/>
  <c r="G403" i="1"/>
  <c r="G397" i="1"/>
  <c r="G395" i="1"/>
  <c r="G393" i="1"/>
  <c r="G386" i="1"/>
  <c r="G385" i="1"/>
  <c r="G380" i="1"/>
  <c r="G379" i="1"/>
  <c r="G378" i="1"/>
  <c r="G377" i="1"/>
  <c r="G376" i="1"/>
  <c r="G371" i="1"/>
  <c r="G358" i="1"/>
  <c r="G351" i="1"/>
  <c r="G349" i="1"/>
  <c r="G348" i="1"/>
  <c r="G346" i="1"/>
  <c r="G345" i="1"/>
  <c r="G343" i="1"/>
  <c r="G342" i="1"/>
  <c r="G341" i="1"/>
  <c r="G337" i="1"/>
  <c r="G336" i="1"/>
  <c r="G334" i="1"/>
  <c r="G333" i="1"/>
  <c r="G328" i="1"/>
  <c r="G327" i="1"/>
  <c r="G325" i="1"/>
  <c r="G321" i="1"/>
  <c r="G320" i="1"/>
  <c r="G319" i="1"/>
  <c r="G318" i="1"/>
  <c r="G315" i="1"/>
  <c r="G314" i="1"/>
  <c r="G302" i="1"/>
  <c r="G295" i="1"/>
  <c r="G294" i="1"/>
  <c r="G293" i="1"/>
  <c r="G290" i="1"/>
  <c r="G289" i="1"/>
  <c r="G287" i="1"/>
  <c r="G286" i="1"/>
  <c r="G285" i="1"/>
  <c r="G283" i="1"/>
  <c r="G281" i="1"/>
  <c r="G280" i="1"/>
  <c r="G278" i="1"/>
  <c r="G277" i="1"/>
  <c r="G276" i="1"/>
  <c r="G275" i="1"/>
  <c r="G274" i="1"/>
  <c r="G273" i="1"/>
  <c r="G271" i="1"/>
  <c r="G270" i="1"/>
  <c r="G268" i="1"/>
  <c r="G267" i="1"/>
  <c r="G265" i="1"/>
  <c r="G264" i="1"/>
  <c r="G262" i="1"/>
  <c r="G261" i="1"/>
  <c r="G260" i="1"/>
  <c r="G258" i="1"/>
  <c r="G257" i="1"/>
  <c r="G256" i="1"/>
  <c r="G252" i="1"/>
  <c r="G251" i="1"/>
  <c r="G250" i="1"/>
  <c r="G248" i="1"/>
  <c r="G245" i="1"/>
  <c r="G243" i="1"/>
  <c r="G242" i="1"/>
  <c r="G241" i="1"/>
  <c r="G240" i="1"/>
  <c r="G239" i="1"/>
  <c r="G237" i="1"/>
  <c r="G236" i="1"/>
  <c r="G234" i="1"/>
  <c r="G233" i="1"/>
  <c r="G232" i="1"/>
  <c r="G231" i="1"/>
  <c r="G230" i="1"/>
  <c r="G228" i="1"/>
  <c r="G227" i="1"/>
  <c r="G226" i="1"/>
  <c r="G225" i="1"/>
  <c r="G224" i="1"/>
  <c r="G222" i="1"/>
  <c r="G221" i="1"/>
  <c r="G220" i="1"/>
  <c r="G219" i="1"/>
  <c r="G218" i="1"/>
  <c r="G216" i="1"/>
  <c r="G215" i="1"/>
  <c r="G214" i="1"/>
  <c r="G213" i="1"/>
  <c r="G212" i="1"/>
  <c r="G210" i="1"/>
  <c r="G209" i="1"/>
  <c r="G208" i="1"/>
  <c r="G202" i="1"/>
  <c r="G201" i="1"/>
  <c r="G199" i="1"/>
  <c r="G198" i="1"/>
  <c r="G193" i="1"/>
  <c r="G191" i="1"/>
  <c r="G190" i="1"/>
  <c r="G189" i="1"/>
  <c r="G179" i="1"/>
  <c r="G177" i="1"/>
  <c r="G174" i="1"/>
  <c r="G171" i="1"/>
  <c r="G169" i="1"/>
  <c r="G167" i="1"/>
  <c r="G164" i="1"/>
  <c r="G162" i="1"/>
  <c r="G160" i="1"/>
  <c r="G158" i="1"/>
  <c r="G157" i="1"/>
  <c r="G156" i="1"/>
  <c r="G155" i="1"/>
  <c r="G152" i="1"/>
  <c r="G151" i="1"/>
  <c r="G150" i="1"/>
  <c r="G147" i="1"/>
  <c r="G146" i="1"/>
  <c r="G144" i="1"/>
  <c r="G143" i="1"/>
  <c r="G142" i="1"/>
  <c r="G138" i="1"/>
  <c r="G137" i="1"/>
  <c r="G135" i="1"/>
  <c r="G134" i="1"/>
  <c r="G133" i="1"/>
  <c r="G131" i="1"/>
  <c r="G129" i="1"/>
  <c r="G123" i="1"/>
  <c r="G121" i="1"/>
  <c r="G120" i="1"/>
  <c r="G117" i="1"/>
  <c r="G112" i="1"/>
  <c r="G108" i="1"/>
  <c r="G107" i="1"/>
  <c r="G105" i="1"/>
  <c r="G104" i="1"/>
  <c r="G101" i="1"/>
  <c r="G100" i="1"/>
  <c r="G99" i="1"/>
  <c r="G94" i="1"/>
  <c r="G93" i="1"/>
  <c r="G91" i="1"/>
  <c r="G86" i="1"/>
  <c r="G85" i="1"/>
  <c r="G84" i="1"/>
  <c r="G75" i="1"/>
  <c r="G74" i="1"/>
  <c r="G73" i="1"/>
  <c r="G72" i="1"/>
  <c r="G71" i="1"/>
  <c r="G70" i="1"/>
  <c r="G59" i="1"/>
  <c r="G58" i="1"/>
  <c r="G53" i="1"/>
  <c r="G52" i="1"/>
  <c r="G48" i="1"/>
  <c r="G46" i="1"/>
  <c r="G42" i="1"/>
  <c r="G37" i="1"/>
  <c r="G36" i="1"/>
  <c r="G35" i="1"/>
  <c r="G31" i="1"/>
  <c r="G30" i="1"/>
  <c r="G28" i="1"/>
  <c r="G27" i="1"/>
  <c r="G20" i="1"/>
  <c r="G21" i="1"/>
  <c r="D54" i="1" l="1"/>
  <c r="D114" i="1"/>
  <c r="D113" i="1" s="1"/>
  <c r="D406" i="1"/>
  <c r="D551" i="1"/>
  <c r="D537" i="1" s="1"/>
  <c r="D352" i="1"/>
  <c r="D742" i="1"/>
  <c r="D298" i="1"/>
  <c r="E847" i="1"/>
  <c r="C847" i="1"/>
  <c r="E834" i="1"/>
  <c r="C834" i="1"/>
  <c r="F824" i="1"/>
  <c r="F823" i="1" s="1"/>
  <c r="E824" i="1"/>
  <c r="F819" i="1"/>
  <c r="E819" i="1"/>
  <c r="G819" i="1" s="1"/>
  <c r="F814" i="1"/>
  <c r="E814" i="1"/>
  <c r="E809" i="1"/>
  <c r="G809" i="1" s="1"/>
  <c r="F805" i="1"/>
  <c r="E805" i="1"/>
  <c r="F803" i="1"/>
  <c r="E803" i="1"/>
  <c r="F801" i="1"/>
  <c r="E801" i="1"/>
  <c r="E797" i="1"/>
  <c r="G797" i="1" s="1"/>
  <c r="F793" i="1"/>
  <c r="E793" i="1"/>
  <c r="F791" i="1"/>
  <c r="E791" i="1"/>
  <c r="F786" i="1"/>
  <c r="E786" i="1"/>
  <c r="E780" i="1"/>
  <c r="F778" i="1"/>
  <c r="F761" i="1" s="1"/>
  <c r="E778" i="1"/>
  <c r="E761" i="1" s="1"/>
  <c r="F758" i="1"/>
  <c r="E758" i="1"/>
  <c r="F747" i="1"/>
  <c r="E747" i="1"/>
  <c r="F739" i="1"/>
  <c r="F738" i="1" s="1"/>
  <c r="F737" i="1" s="1"/>
  <c r="E739" i="1"/>
  <c r="F735" i="1"/>
  <c r="F734" i="1" s="1"/>
  <c r="E735" i="1"/>
  <c r="G735" i="1" s="1"/>
  <c r="F727" i="1"/>
  <c r="F726" i="1" s="1"/>
  <c r="E727" i="1"/>
  <c r="F723" i="1"/>
  <c r="F721" i="1" s="1"/>
  <c r="E723" i="1"/>
  <c r="F717" i="1"/>
  <c r="F716" i="1" s="1"/>
  <c r="F715" i="1" s="1"/>
  <c r="E717" i="1"/>
  <c r="E716" i="1" s="1"/>
  <c r="E713" i="1"/>
  <c r="F710" i="1"/>
  <c r="E710" i="1"/>
  <c r="G710" i="1" s="1"/>
  <c r="F705" i="1"/>
  <c r="E705" i="1"/>
  <c r="F702" i="1"/>
  <c r="E702" i="1"/>
  <c r="F699" i="1"/>
  <c r="E699" i="1"/>
  <c r="F695" i="1"/>
  <c r="F694" i="1" s="1"/>
  <c r="E695" i="1"/>
  <c r="F691" i="1"/>
  <c r="F690" i="1" s="1"/>
  <c r="E691" i="1"/>
  <c r="F685" i="1"/>
  <c r="E685" i="1"/>
  <c r="F681" i="1"/>
  <c r="E681" i="1"/>
  <c r="F675" i="1"/>
  <c r="E675" i="1"/>
  <c r="G675" i="1" s="1"/>
  <c r="F670" i="1"/>
  <c r="E670" i="1"/>
  <c r="F666" i="1"/>
  <c r="E666" i="1"/>
  <c r="F663" i="1"/>
  <c r="E663" i="1"/>
  <c r="F658" i="1"/>
  <c r="E658" i="1"/>
  <c r="F653" i="1"/>
  <c r="E653" i="1"/>
  <c r="F648" i="1"/>
  <c r="E648" i="1"/>
  <c r="F645" i="1"/>
  <c r="E645" i="1"/>
  <c r="F637" i="1"/>
  <c r="E637" i="1"/>
  <c r="G637" i="1" s="1"/>
  <c r="F628" i="1"/>
  <c r="E628" i="1"/>
  <c r="F625" i="1"/>
  <c r="E625" i="1"/>
  <c r="F616" i="1"/>
  <c r="E616" i="1"/>
  <c r="E612" i="1"/>
  <c r="F608" i="1"/>
  <c r="E609" i="1"/>
  <c r="F601" i="1"/>
  <c r="E601" i="1"/>
  <c r="F597" i="1"/>
  <c r="E597" i="1"/>
  <c r="G597" i="1" s="1"/>
  <c r="F595" i="1"/>
  <c r="E595" i="1"/>
  <c r="F591" i="1"/>
  <c r="E591" i="1"/>
  <c r="F587" i="1"/>
  <c r="E587" i="1"/>
  <c r="E584" i="1"/>
  <c r="E579" i="1"/>
  <c r="E576" i="1"/>
  <c r="G576" i="1" s="1"/>
  <c r="F571" i="1"/>
  <c r="E571" i="1"/>
  <c r="F567" i="1"/>
  <c r="E568" i="1"/>
  <c r="F563" i="1"/>
  <c r="E563" i="1"/>
  <c r="E561" i="1"/>
  <c r="F555" i="1"/>
  <c r="E555" i="1"/>
  <c r="F546" i="1"/>
  <c r="E546" i="1"/>
  <c r="F543" i="1"/>
  <c r="E543" i="1"/>
  <c r="F541" i="1"/>
  <c r="E541" i="1"/>
  <c r="F533" i="1"/>
  <c r="E533" i="1"/>
  <c r="F528" i="1"/>
  <c r="E528" i="1"/>
  <c r="G528" i="1" s="1"/>
  <c r="F524" i="1"/>
  <c r="E524" i="1"/>
  <c r="F517" i="1"/>
  <c r="E517" i="1"/>
  <c r="F511" i="1"/>
  <c r="E511" i="1"/>
  <c r="E506" i="1"/>
  <c r="F502" i="1"/>
  <c r="E502" i="1"/>
  <c r="F491" i="1"/>
  <c r="E491" i="1"/>
  <c r="F482" i="1"/>
  <c r="E482" i="1"/>
  <c r="F470" i="1"/>
  <c r="F469" i="1" s="1"/>
  <c r="F468" i="1" s="1"/>
  <c r="E470" i="1"/>
  <c r="F464" i="1"/>
  <c r="E464" i="1"/>
  <c r="F460" i="1"/>
  <c r="E460" i="1"/>
  <c r="G460" i="1" s="1"/>
  <c r="E456" i="1"/>
  <c r="F452" i="1"/>
  <c r="E452" i="1"/>
  <c r="G452" i="1" s="1"/>
  <c r="F440" i="1"/>
  <c r="E440" i="1"/>
  <c r="F426" i="1"/>
  <c r="E426" i="1"/>
  <c r="F421" i="1"/>
  <c r="E421" i="1"/>
  <c r="F417" i="1"/>
  <c r="E417" i="1"/>
  <c r="F410" i="1"/>
  <c r="E410" i="1"/>
  <c r="F404" i="1"/>
  <c r="E404" i="1"/>
  <c r="E402" i="1"/>
  <c r="F396" i="1"/>
  <c r="E396" i="1"/>
  <c r="F394" i="1"/>
  <c r="E394" i="1"/>
  <c r="F392" i="1"/>
  <c r="E392" i="1"/>
  <c r="G392" i="1" s="1"/>
  <c r="F384" i="1"/>
  <c r="F383" i="1" s="1"/>
  <c r="E384" i="1"/>
  <c r="F375" i="1"/>
  <c r="F374" i="1" s="1"/>
  <c r="E375" i="1"/>
  <c r="E372" i="1"/>
  <c r="E367" i="1"/>
  <c r="G367" i="1" s="1"/>
  <c r="E363" i="1"/>
  <c r="F357" i="1"/>
  <c r="F356" i="1" s="1"/>
  <c r="E357" i="1"/>
  <c r="F350" i="1"/>
  <c r="E350" i="1"/>
  <c r="F347" i="1"/>
  <c r="F344" i="1" s="1"/>
  <c r="E347" i="1"/>
  <c r="E344" i="1" s="1"/>
  <c r="F340" i="1"/>
  <c r="E340" i="1"/>
  <c r="F335" i="1"/>
  <c r="E335" i="1"/>
  <c r="E332" i="1"/>
  <c r="F326" i="1"/>
  <c r="E326" i="1"/>
  <c r="F317" i="1"/>
  <c r="E317" i="1"/>
  <c r="F313" i="1"/>
  <c r="F312" i="1" s="1"/>
  <c r="E313" i="1"/>
  <c r="E307" i="1"/>
  <c r="E303" i="1"/>
  <c r="F301" i="1"/>
  <c r="E292" i="1"/>
  <c r="E288" i="1"/>
  <c r="F284" i="1"/>
  <c r="E284" i="1"/>
  <c r="F282" i="1"/>
  <c r="E282" i="1"/>
  <c r="F279" i="1"/>
  <c r="E279" i="1"/>
  <c r="G279" i="1" s="1"/>
  <c r="F272" i="1"/>
  <c r="E272" i="1"/>
  <c r="G272" i="1" s="1"/>
  <c r="F269" i="1"/>
  <c r="E269" i="1"/>
  <c r="F266" i="1"/>
  <c r="E266" i="1"/>
  <c r="F263" i="1"/>
  <c r="E263" i="1"/>
  <c r="F259" i="1"/>
  <c r="E259" i="1"/>
  <c r="F255" i="1"/>
  <c r="E255" i="1"/>
  <c r="F249" i="1"/>
  <c r="E249" i="1"/>
  <c r="F244" i="1"/>
  <c r="E244" i="1"/>
  <c r="F238" i="1"/>
  <c r="E238" i="1"/>
  <c r="G238" i="1" s="1"/>
  <c r="F235" i="1"/>
  <c r="E235" i="1"/>
  <c r="F229" i="1"/>
  <c r="E229" i="1"/>
  <c r="F223" i="1"/>
  <c r="E223" i="1"/>
  <c r="F217" i="1"/>
  <c r="E217" i="1"/>
  <c r="G217" i="1" s="1"/>
  <c r="F211" i="1"/>
  <c r="E211" i="1"/>
  <c r="F207" i="1"/>
  <c r="E207" i="1"/>
  <c r="F203" i="1"/>
  <c r="E203" i="1"/>
  <c r="F200" i="1"/>
  <c r="E200" i="1"/>
  <c r="G200" i="1" s="1"/>
  <c r="F197" i="1"/>
  <c r="E197" i="1"/>
  <c r="F195" i="1"/>
  <c r="E195" i="1"/>
  <c r="F188" i="1"/>
  <c r="F187" i="1" s="1"/>
  <c r="E188" i="1"/>
  <c r="F182" i="1"/>
  <c r="F181" i="1" s="1"/>
  <c r="F180" i="1" s="1"/>
  <c r="E182" i="1"/>
  <c r="F178" i="1"/>
  <c r="G178" i="1"/>
  <c r="F176" i="1"/>
  <c r="F175" i="1" s="1"/>
  <c r="E176" i="1"/>
  <c r="E173" i="1"/>
  <c r="F170" i="1"/>
  <c r="E170" i="1"/>
  <c r="E168" i="1"/>
  <c r="F166" i="1"/>
  <c r="E166" i="1"/>
  <c r="E163" i="1"/>
  <c r="F161" i="1"/>
  <c r="E161" i="1"/>
  <c r="E159" i="1"/>
  <c r="F154" i="1"/>
  <c r="E154" i="1"/>
  <c r="F149" i="1"/>
  <c r="F148" i="1" s="1"/>
  <c r="E149" i="1"/>
  <c r="F145" i="1"/>
  <c r="E145" i="1"/>
  <c r="F141" i="1"/>
  <c r="E141" i="1"/>
  <c r="F136" i="1"/>
  <c r="E136" i="1"/>
  <c r="G136" i="1" s="1"/>
  <c r="F132" i="1"/>
  <c r="E132" i="1"/>
  <c r="F130" i="1"/>
  <c r="E130" i="1"/>
  <c r="F128" i="1"/>
  <c r="G128" i="1"/>
  <c r="F124" i="1"/>
  <c r="G124" i="1"/>
  <c r="F122" i="1"/>
  <c r="E122" i="1"/>
  <c r="G122" i="1" s="1"/>
  <c r="F119" i="1"/>
  <c r="E119" i="1"/>
  <c r="E116" i="1"/>
  <c r="G116" i="1" s="1"/>
  <c r="E111" i="1"/>
  <c r="E109" i="1"/>
  <c r="F106" i="1"/>
  <c r="E106" i="1"/>
  <c r="F103" i="1"/>
  <c r="E103" i="1"/>
  <c r="F98" i="1"/>
  <c r="E98" i="1"/>
  <c r="F92" i="1"/>
  <c r="E92" i="1"/>
  <c r="F90" i="1"/>
  <c r="E90" i="1"/>
  <c r="G90" i="1" s="1"/>
  <c r="F83" i="1"/>
  <c r="E83" i="1"/>
  <c r="F81" i="1"/>
  <c r="F69" i="1"/>
  <c r="F68" i="1" s="1"/>
  <c r="E69" i="1"/>
  <c r="F62" i="1"/>
  <c r="E62" i="1"/>
  <c r="E60" i="1"/>
  <c r="F51" i="1"/>
  <c r="F50" i="1" s="1"/>
  <c r="F49" i="1" s="1"/>
  <c r="E51" i="1"/>
  <c r="F47" i="1"/>
  <c r="E47" i="1"/>
  <c r="G47" i="1" s="1"/>
  <c r="F45" i="1"/>
  <c r="E45" i="1"/>
  <c r="F39" i="1"/>
  <c r="F38" i="1" s="1"/>
  <c r="F34" i="1"/>
  <c r="F33" i="1" s="1"/>
  <c r="F32" i="1" s="1"/>
  <c r="E34" i="1"/>
  <c r="F29" i="1"/>
  <c r="E29" i="1"/>
  <c r="F26" i="1"/>
  <c r="E26" i="1"/>
  <c r="G26" i="1" s="1"/>
  <c r="F19" i="1"/>
  <c r="E19" i="1"/>
  <c r="F16" i="1"/>
  <c r="G16" i="1"/>
  <c r="F153" i="1" l="1"/>
  <c r="G132" i="1"/>
  <c r="G207" i="1"/>
  <c r="G249" i="1"/>
  <c r="G45" i="1"/>
  <c r="G83" i="1"/>
  <c r="G119" i="1"/>
  <c r="G747" i="1"/>
  <c r="F43" i="1"/>
  <c r="G259" i="1"/>
  <c r="G288" i="1"/>
  <c r="G524" i="1"/>
  <c r="G571" i="1"/>
  <c r="G579" i="1"/>
  <c r="G595" i="1"/>
  <c r="G628" i="1"/>
  <c r="F140" i="1"/>
  <c r="G456" i="1"/>
  <c r="G464" i="1"/>
  <c r="G533" i="1"/>
  <c r="G282" i="1"/>
  <c r="G29" i="1"/>
  <c r="F127" i="1"/>
  <c r="G154" i="1"/>
  <c r="G161" i="1"/>
  <c r="G166" i="1"/>
  <c r="G805" i="1"/>
  <c r="G814" i="1"/>
  <c r="G106" i="1"/>
  <c r="G111" i="1"/>
  <c r="G141" i="1"/>
  <c r="G92" i="1"/>
  <c r="G344" i="1"/>
  <c r="G670" i="1"/>
  <c r="G705" i="1"/>
  <c r="F784" i="1"/>
  <c r="G601" i="1"/>
  <c r="G645" i="1"/>
  <c r="G681" i="1"/>
  <c r="G347" i="1"/>
  <c r="G223" i="1"/>
  <c r="G263" i="1"/>
  <c r="F97" i="1"/>
  <c r="F95" i="1" s="1"/>
  <c r="G394" i="1"/>
  <c r="G417" i="1"/>
  <c r="G491" i="1"/>
  <c r="G546" i="1"/>
  <c r="E694" i="1"/>
  <c r="G694" i="1" s="1"/>
  <c r="G695" i="1"/>
  <c r="E374" i="1"/>
  <c r="G374" i="1" s="1"/>
  <c r="G375" i="1"/>
  <c r="E726" i="1"/>
  <c r="G726" i="1" s="1"/>
  <c r="G727" i="1"/>
  <c r="G780" i="1"/>
  <c r="E50" i="1"/>
  <c r="G51" i="1"/>
  <c r="E127" i="1"/>
  <c r="G130" i="1"/>
  <c r="E175" i="1"/>
  <c r="G175" i="1" s="1"/>
  <c r="G176" i="1"/>
  <c r="G197" i="1"/>
  <c r="G235" i="1"/>
  <c r="G269" i="1"/>
  <c r="G332" i="1"/>
  <c r="G340" i="1"/>
  <c r="G402" i="1"/>
  <c r="G426" i="1"/>
  <c r="G506" i="1"/>
  <c r="G517" i="1"/>
  <c r="G561" i="1"/>
  <c r="G584" i="1"/>
  <c r="G612" i="1"/>
  <c r="G625" i="1"/>
  <c r="G666" i="1"/>
  <c r="F680" i="1"/>
  <c r="G702" i="1"/>
  <c r="E712" i="1"/>
  <c r="G712" i="1" s="1"/>
  <c r="G713" i="1"/>
  <c r="F746" i="1"/>
  <c r="G103" i="1"/>
  <c r="E148" i="1"/>
  <c r="G148" i="1" s="1"/>
  <c r="G149" i="1"/>
  <c r="E312" i="1"/>
  <c r="G312" i="1" s="1"/>
  <c r="G313" i="1"/>
  <c r="E409" i="1"/>
  <c r="E481" i="1"/>
  <c r="G482" i="1"/>
  <c r="G543" i="1"/>
  <c r="E567" i="1"/>
  <c r="G567" i="1" s="1"/>
  <c r="G568" i="1"/>
  <c r="F590" i="1"/>
  <c r="F589" i="1" s="1"/>
  <c r="G653" i="1"/>
  <c r="E690" i="1"/>
  <c r="G690" i="1" s="1"/>
  <c r="G691" i="1"/>
  <c r="E715" i="1"/>
  <c r="G715" i="1" s="1"/>
  <c r="G716" i="1"/>
  <c r="E721" i="1"/>
  <c r="G721" i="1" s="1"/>
  <c r="G723" i="1"/>
  <c r="E734" i="1"/>
  <c r="G734" i="1" s="1"/>
  <c r="G778" i="1"/>
  <c r="G786" i="1"/>
  <c r="G109" i="1"/>
  <c r="G159" i="1"/>
  <c r="G195" i="1"/>
  <c r="G229" i="1"/>
  <c r="G266" i="1"/>
  <c r="G335" i="1"/>
  <c r="G396" i="1"/>
  <c r="G502" i="1"/>
  <c r="G511" i="1"/>
  <c r="G555" i="1"/>
  <c r="G563" i="1"/>
  <c r="G587" i="1"/>
  <c r="G616" i="1"/>
  <c r="G663" i="1"/>
  <c r="G699" i="1"/>
  <c r="E33" i="1"/>
  <c r="G33" i="1" s="1"/>
  <c r="G34" i="1"/>
  <c r="F115" i="1"/>
  <c r="G19" i="1"/>
  <c r="G98" i="1"/>
  <c r="G145" i="1"/>
  <c r="G163" i="1"/>
  <c r="G168" i="1"/>
  <c r="G173" i="1"/>
  <c r="G211" i="1"/>
  <c r="G255" i="1"/>
  <c r="G284" i="1"/>
  <c r="E291" i="1"/>
  <c r="G291" i="1" s="1"/>
  <c r="G292" i="1"/>
  <c r="G350" i="1"/>
  <c r="E383" i="1"/>
  <c r="G383" i="1" s="1"/>
  <c r="G384" i="1"/>
  <c r="G404" i="1"/>
  <c r="E469" i="1"/>
  <c r="G470" i="1"/>
  <c r="G541" i="1"/>
  <c r="G609" i="1"/>
  <c r="G648" i="1"/>
  <c r="G685" i="1"/>
  <c r="G717" i="1"/>
  <c r="G758" i="1"/>
  <c r="G793" i="1"/>
  <c r="G801" i="1"/>
  <c r="E823" i="1"/>
  <c r="G823" i="1" s="1"/>
  <c r="G824" i="1"/>
  <c r="F813" i="1"/>
  <c r="F812" i="1" s="1"/>
  <c r="G803" i="1"/>
  <c r="G791" i="1"/>
  <c r="E738" i="1"/>
  <c r="G739" i="1"/>
  <c r="G658" i="1"/>
  <c r="E615" i="1"/>
  <c r="G591" i="1"/>
  <c r="E539" i="1"/>
  <c r="E439" i="1"/>
  <c r="G440" i="1"/>
  <c r="F420" i="1"/>
  <c r="G421" i="1"/>
  <c r="G410" i="1"/>
  <c r="E370" i="1"/>
  <c r="G370" i="1" s="1"/>
  <c r="G372" i="1"/>
  <c r="G363" i="1"/>
  <c r="G357" i="1"/>
  <c r="E331" i="1"/>
  <c r="G326" i="1"/>
  <c r="F316" i="1"/>
  <c r="G317" i="1"/>
  <c r="E306" i="1"/>
  <c r="G306" i="1" s="1"/>
  <c r="G307" i="1"/>
  <c r="E301" i="1"/>
  <c r="G301" i="1" s="1"/>
  <c r="G303" i="1"/>
  <c r="G244" i="1"/>
  <c r="E194" i="1"/>
  <c r="E187" i="1"/>
  <c r="G187" i="1" s="1"/>
  <c r="G188" i="1"/>
  <c r="E181" i="1"/>
  <c r="G182" i="1"/>
  <c r="G170" i="1"/>
  <c r="G69" i="1"/>
  <c r="E68" i="1"/>
  <c r="G68" i="1" s="1"/>
  <c r="G62" i="1"/>
  <c r="G60" i="1"/>
  <c r="G38" i="1"/>
  <c r="G39" i="1"/>
  <c r="E140" i="1"/>
  <c r="G140" i="1" s="1"/>
  <c r="E497" i="1"/>
  <c r="F570" i="1"/>
  <c r="F615" i="1"/>
  <c r="E746" i="1"/>
  <c r="G746" i="1" s="1"/>
  <c r="E813" i="1"/>
  <c r="G813" i="1" s="1"/>
  <c r="E851" i="1"/>
  <c r="F400" i="1"/>
  <c r="F481" i="1"/>
  <c r="F480" i="1" s="1"/>
  <c r="E554" i="1"/>
  <c r="E590" i="1"/>
  <c r="E43" i="1"/>
  <c r="E391" i="1"/>
  <c r="G391" i="1" s="1"/>
  <c r="F539" i="1"/>
  <c r="F538" i="1" s="1"/>
  <c r="F800" i="1"/>
  <c r="F795" i="1" s="1"/>
  <c r="E165" i="1"/>
  <c r="E254" i="1"/>
  <c r="E400" i="1"/>
  <c r="G400" i="1" s="1"/>
  <c r="F497" i="1"/>
  <c r="F494" i="1" s="1"/>
  <c r="E80" i="1"/>
  <c r="F331" i="1"/>
  <c r="F353" i="1"/>
  <c r="F194" i="1"/>
  <c r="F554" i="1"/>
  <c r="E784" i="1"/>
  <c r="E15" i="1"/>
  <c r="E316" i="1"/>
  <c r="E339" i="1"/>
  <c r="F409" i="1"/>
  <c r="E420" i="1"/>
  <c r="F439" i="1"/>
  <c r="F438" i="1" s="1"/>
  <c r="E608" i="1"/>
  <c r="E57" i="1"/>
  <c r="F254" i="1"/>
  <c r="F253" i="1" s="1"/>
  <c r="F299" i="1"/>
  <c r="F339" i="1"/>
  <c r="F338" i="1" s="1"/>
  <c r="E680" i="1"/>
  <c r="E570" i="1"/>
  <c r="F720" i="1"/>
  <c r="C851" i="1"/>
  <c r="E800" i="1"/>
  <c r="F57" i="1"/>
  <c r="F55" i="1" s="1"/>
  <c r="F80" i="1"/>
  <c r="F79" i="1" s="1"/>
  <c r="E115" i="1"/>
  <c r="G115" i="1" s="1"/>
  <c r="F165" i="1"/>
  <c r="E206" i="1"/>
  <c r="G206" i="1" s="1"/>
  <c r="F206" i="1"/>
  <c r="E356" i="1"/>
  <c r="E97" i="1"/>
  <c r="E153" i="1"/>
  <c r="F391" i="1"/>
  <c r="F381" i="1" s="1"/>
  <c r="F15" i="1"/>
  <c r="F14" i="1" s="1"/>
  <c r="E720" i="1" l="1"/>
  <c r="G720" i="1" s="1"/>
  <c r="F13" i="1"/>
  <c r="F186" i="1"/>
  <c r="E32" i="1"/>
  <c r="G32" i="1" s="1"/>
  <c r="E381" i="1"/>
  <c r="F743" i="1"/>
  <c r="F742" i="1" s="1"/>
  <c r="F114" i="1"/>
  <c r="F113" i="1" s="1"/>
  <c r="G153" i="1"/>
  <c r="G409" i="1"/>
  <c r="E299" i="1"/>
  <c r="G299" i="1" s="1"/>
  <c r="F605" i="1"/>
  <c r="F604" i="1" s="1"/>
  <c r="G127" i="1"/>
  <c r="G43" i="1"/>
  <c r="E14" i="1"/>
  <c r="G14" i="1" s="1"/>
  <c r="G15" i="1"/>
  <c r="G194" i="1"/>
  <c r="E468" i="1"/>
  <c r="G468" i="1" s="1"/>
  <c r="G469" i="1"/>
  <c r="E49" i="1"/>
  <c r="G49" i="1" s="1"/>
  <c r="G50" i="1"/>
  <c r="G331" i="1"/>
  <c r="E480" i="1"/>
  <c r="G480" i="1" s="1"/>
  <c r="G481" i="1"/>
  <c r="E812" i="1"/>
  <c r="G812" i="1" s="1"/>
  <c r="E795" i="1"/>
  <c r="G795" i="1" s="1"/>
  <c r="G800" i="1"/>
  <c r="G784" i="1"/>
  <c r="G761" i="1"/>
  <c r="E743" i="1"/>
  <c r="E737" i="1"/>
  <c r="G737" i="1" s="1"/>
  <c r="G738" i="1"/>
  <c r="G680" i="1"/>
  <c r="G615" i="1"/>
  <c r="E605" i="1"/>
  <c r="G608" i="1"/>
  <c r="E589" i="1"/>
  <c r="G589" i="1" s="1"/>
  <c r="G590" i="1"/>
  <c r="G570" i="1"/>
  <c r="F551" i="1"/>
  <c r="F537" i="1" s="1"/>
  <c r="E551" i="1"/>
  <c r="G551" i="1" s="1"/>
  <c r="G554" i="1"/>
  <c r="E538" i="1"/>
  <c r="G538" i="1" s="1"/>
  <c r="G539" i="1"/>
  <c r="G497" i="1"/>
  <c r="E494" i="1"/>
  <c r="G494" i="1" s="1"/>
  <c r="E438" i="1"/>
  <c r="G438" i="1" s="1"/>
  <c r="G439" i="1"/>
  <c r="F407" i="1"/>
  <c r="F406" i="1" s="1"/>
  <c r="E407" i="1"/>
  <c r="G420" i="1"/>
  <c r="G381" i="1"/>
  <c r="E353" i="1"/>
  <c r="G353" i="1" s="1"/>
  <c r="G356" i="1"/>
  <c r="F352" i="1"/>
  <c r="E338" i="1"/>
  <c r="G338" i="1" s="1"/>
  <c r="G339" i="1"/>
  <c r="F309" i="1"/>
  <c r="F298" i="1" s="1"/>
  <c r="E309" i="1"/>
  <c r="G316" i="1"/>
  <c r="E253" i="1"/>
  <c r="G253" i="1" s="1"/>
  <c r="G254" i="1"/>
  <c r="F185" i="1"/>
  <c r="E186" i="1"/>
  <c r="E180" i="1"/>
  <c r="G180" i="1" s="1"/>
  <c r="G181" i="1"/>
  <c r="G165" i="1"/>
  <c r="E95" i="1"/>
  <c r="G95" i="1" s="1"/>
  <c r="G97" i="1"/>
  <c r="E79" i="1"/>
  <c r="G79" i="1" s="1"/>
  <c r="G80" i="1"/>
  <c r="E55" i="1"/>
  <c r="G55" i="1" s="1"/>
  <c r="G57" i="1"/>
  <c r="E114" i="1"/>
  <c r="F54" i="1"/>
  <c r="E604" i="1" l="1"/>
  <c r="G604" i="1" s="1"/>
  <c r="E298" i="1"/>
  <c r="G298" i="1" s="1"/>
  <c r="E13" i="1"/>
  <c r="G407" i="1"/>
  <c r="G743" i="1"/>
  <c r="E742" i="1"/>
  <c r="G742" i="1" s="1"/>
  <c r="G605" i="1"/>
  <c r="E537" i="1"/>
  <c r="G537" i="1" s="1"/>
  <c r="E406" i="1"/>
  <c r="G406" i="1" s="1"/>
  <c r="E352" i="1"/>
  <c r="G352" i="1" s="1"/>
  <c r="G309" i="1"/>
  <c r="E185" i="1"/>
  <c r="G185" i="1" s="1"/>
  <c r="G186" i="1"/>
  <c r="E113" i="1"/>
  <c r="G113" i="1" s="1"/>
  <c r="G114" i="1"/>
  <c r="E54" i="1"/>
  <c r="G54" i="1" s="1"/>
  <c r="G13" i="1"/>
</calcChain>
</file>

<file path=xl/sharedStrings.xml><?xml version="1.0" encoding="utf-8"?>
<sst xmlns="http://schemas.openxmlformats.org/spreadsheetml/2006/main" count="4367" uniqueCount="1872">
  <si>
    <t>Kodas</t>
  </si>
  <si>
    <t>Pavadinimas</t>
  </si>
  <si>
    <t>SP lėšos</t>
  </si>
  <si>
    <t>Efekto /Rezultato /Produkto /Indėlio</t>
  </si>
  <si>
    <t>Rodiklis</t>
  </si>
  <si>
    <t>Mato vnt.</t>
  </si>
  <si>
    <t>2022</t>
  </si>
  <si>
    <t>2023</t>
  </si>
  <si>
    <t>Aprašymas</t>
  </si>
  <si>
    <t>Pastaba</t>
  </si>
  <si>
    <t>Planas</t>
  </si>
  <si>
    <t>Faktas</t>
  </si>
  <si>
    <t>01.</t>
  </si>
  <si>
    <t>Miesto urbanistinės plėtros programa</t>
  </si>
  <si>
    <t>proc.</t>
  </si>
  <si>
    <t>0,00</t>
  </si>
  <si>
    <t>01.01.</t>
  </si>
  <si>
    <t>Užtikrinti kompleksišką ir darnų miesto planavimą</t>
  </si>
  <si>
    <t>Parengtų teritorijų planavimo, žemėtvarkos planavimo, žemės sklypų kadastrinių matavimų dokumentų</t>
  </si>
  <si>
    <t>vnt.</t>
  </si>
  <si>
    <t>80,00</t>
  </si>
  <si>
    <t>82,00</t>
  </si>
  <si>
    <t>83,00</t>
  </si>
  <si>
    <t>01.01.01.</t>
  </si>
  <si>
    <t>Rengti teritorijų planavimo dokumentus, padedančius užtikrinti darniąją miesto plėtrą</t>
  </si>
  <si>
    <t>01.01.01.01</t>
  </si>
  <si>
    <t>Koreguoti Šiaulių miesto savivaldybės teritorijos bendrąjį planą</t>
  </si>
  <si>
    <t>1.01.</t>
  </si>
  <si>
    <t>Parengtas Bendrojo plano koregavimas prioritetinių ir neprioritetinių teritorijų nustatymui</t>
  </si>
  <si>
    <t>1,00</t>
  </si>
  <si>
    <t>Vykdomos stebėsenos procedūros.</t>
  </si>
  <si>
    <t>Parengtas Bendrojo plano koregavimas teritorijoje J. Jablonskio g. 14 ir 16, Šiauliuose</t>
  </si>
  <si>
    <t>Rengiamas. 2022.01.20 gautas VTPSI patikrinimo aktas Nr. REG208538, kurio išvada - pritariama teikimui tvirtinti. Parengtas sprendimo projektas Nr. TSP-51-(1.4 E).</t>
  </si>
  <si>
    <t>Atliktas Bendrojo plano pakeitimas</t>
  </si>
  <si>
    <t>01.01.01.02.</t>
  </si>
  <si>
    <t>Organizuoti detaliųjų ir specialiųjų planų parengimą</t>
  </si>
  <si>
    <t>Parengtas Teritorijos tarp Gegužių, Architektų, Gardino ir Aido gatvių Šiauliuose detalusis planas</t>
  </si>
  <si>
    <t>1.10.</t>
  </si>
  <si>
    <t>Parengtas Teritorijos tarp K. Korsako, Gytarių ir Gegužių gatvių, Šiauliuose, detalusis planas</t>
  </si>
  <si>
    <t>Parengtas Talkšos ežero ir jo prieigų, Ežero gyvenamojo rajono bei teritorijos Vilniaus g. 72, Šiauliuose, detalusis planas</t>
  </si>
  <si>
    <t>Parengtas Transporto specialiojo plano klaidos ištaisymas</t>
  </si>
  <si>
    <t>Parengtas Industrinio parko (teritorijos šalia Dubijos, Radviliškio, P. Motiekaičio gatvių) Šiauliuose detaliojo plano koregavimas</t>
  </si>
  <si>
    <t>2,00</t>
  </si>
  <si>
    <t>Parengtų detaliųjų ir specialiųjų planų</t>
  </si>
  <si>
    <t>Koreguotas teritorijos Liejyklos g. 29, 31, 33 ir Išradėjų g. 18 detalusis planas</t>
  </si>
  <si>
    <t>Rengiamas</t>
  </si>
  <si>
    <t>01.01.01.03</t>
  </si>
  <si>
    <t>Įgyvendinti  žemės paėmimo visuomenės poreikiams procedūrą</t>
  </si>
  <si>
    <t>Įgyvendinta žemės paėmimo visuomenės poreikiams procedūra, paimtas žemės sklypas visuomenės poreikiams</t>
  </si>
  <si>
    <t>Parengtas žemės paėmimo visuomenės poreikiams projektas</t>
  </si>
  <si>
    <t>Parengtos dvi sąnaudų ir naudos analizės žemės apėmimo visuomenės poreikiams procedūroms pradėti Dainų tako vientisumui užtikrinti.</t>
  </si>
  <si>
    <t>01.01.01.04</t>
  </si>
  <si>
    <t>Rengti žemėtvarkos planavimo dokumentus, žemės sklypų kadastrinius matavimus</t>
  </si>
  <si>
    <t>Parengta kadastrinių matavimų bylų, žemės sklypų pertvarkymo projektų</t>
  </si>
  <si>
    <t>100,00</t>
  </si>
  <si>
    <t>01.02.</t>
  </si>
  <si>
    <t>Tobulinti miesto teigiamo architektūrinio ir vizualinio įvaizdžio kokybę</t>
  </si>
  <si>
    <t>Parengtų, įgyvendintų projektinių pasiūlymų, idėjos konkursų</t>
  </si>
  <si>
    <t>5,00</t>
  </si>
  <si>
    <t>3,00</t>
  </si>
  <si>
    <t>4,00</t>
  </si>
  <si>
    <t>01.02.01.</t>
  </si>
  <si>
    <t>Pagerinti miesto teigiamo architektūrinio ir vizualinio įvaizdžio kokybę</t>
  </si>
  <si>
    <t>01.02.01.01</t>
  </si>
  <si>
    <t>Formuoti miesto teigiamą architektūrinį ir vizualųjį įvaizdį</t>
  </si>
  <si>
    <t>Parengtas paminklo "Tautos laisvė" idėjos konkursas</t>
  </si>
  <si>
    <t>Įgyvendintas Pasaulio teisuolių įamžinimo Pasaulio teisuolių skvere Ežero g. 18 projektas</t>
  </si>
  <si>
    <t>01.02.01.03</t>
  </si>
  <si>
    <t>Organizuoti architektūriniu, urbanistiniu, valstybiniu ar viešojo intereso požiūriu reikšmingų objektų planavimo ar projektavimo architektūrinius konkursus</t>
  </si>
  <si>
    <t>Suorganizuota architektūrinių konkursų</t>
  </si>
  <si>
    <t>01.03.</t>
  </si>
  <si>
    <t>Išsaugoti nekilnojamąjį kultūros paveldą</t>
  </si>
  <si>
    <t>Kultūros paveldo objektai, kuriems atlikti tvarkybos darbai</t>
  </si>
  <si>
    <t>01.03.01.</t>
  </si>
  <si>
    <t>Organizuoti kultūros paveldo apsaugą</t>
  </si>
  <si>
    <t>01.03.01.02</t>
  </si>
  <si>
    <t>Organizuoti kultūros paveldo tvarkybą</t>
  </si>
  <si>
    <t>Sutvarkyta kultūros paveldo objektų</t>
  </si>
  <si>
    <t>01.03.01.03</t>
  </si>
  <si>
    <t>Vykdyti nekilnojamojo kultūros paveldo pažinimo sklaidą ir atgaivinimą</t>
  </si>
  <si>
    <t>01.03.01.04</t>
  </si>
  <si>
    <t>Plėtoti kultūros paveldo apskaitą</t>
  </si>
  <si>
    <t>Įgyvendinta kultūros paveldo apskaitos priemonių</t>
  </si>
  <si>
    <t>01.04.</t>
  </si>
  <si>
    <t>Tobulinti ir plėsti miesto geoinformacinę sistemą (GIS)</t>
  </si>
  <si>
    <t>Atnaujinta duomenų bazės programinės įrangos</t>
  </si>
  <si>
    <t>Atnaujintų topografinių duomenų plotas</t>
  </si>
  <si>
    <t>ha</t>
  </si>
  <si>
    <t>01.04.01.</t>
  </si>
  <si>
    <t>Kokybiškai administruoti Šiaulių m. GIS duomenų bazę</t>
  </si>
  <si>
    <t>01.04.01.01</t>
  </si>
  <si>
    <t>Organizuoti miesto geografinės informacinės sistemos (GIS) priežiūrą, programinės įrangos atnaujinimą ir techninę priežiūrą</t>
  </si>
  <si>
    <t>01.04.02.</t>
  </si>
  <si>
    <t>Atnaujinti vietinius geodezinius tinklus</t>
  </si>
  <si>
    <t>01.04.02.01</t>
  </si>
  <si>
    <t>Vykdyti Šiaulių miesto savivaldybės geodezijos ir kartografijos darbus</t>
  </si>
  <si>
    <t>Parengta topografinių planų</t>
  </si>
  <si>
    <t>6,00</t>
  </si>
  <si>
    <t>01.05.</t>
  </si>
  <si>
    <t>Įgyvendinti techninės dokumentacijos parengimo darbus</t>
  </si>
  <si>
    <t>Parengtų techninių projektų</t>
  </si>
  <si>
    <t>21,00</t>
  </si>
  <si>
    <t>17,00</t>
  </si>
  <si>
    <t>01.05.01.</t>
  </si>
  <si>
    <t>Rengti Savivaldybės numatomų statyti ar rekonstruoti objektų  ir susisiekimo infrastruktūros objektų  techninius projektus</t>
  </si>
  <si>
    <t>01.05.01.01</t>
  </si>
  <si>
    <t>Organizuoti projektinių darbų finansavimą</t>
  </si>
  <si>
    <t>Architektūros, urbanistikos ir paveldosaugos skyriaus parengtų techninių projektų</t>
  </si>
  <si>
    <t>Statybos ir renovacijos skyriaus parengtų techninių projektų</t>
  </si>
  <si>
    <t>7,00</t>
  </si>
  <si>
    <t>8,00</t>
  </si>
  <si>
    <t>Miesto ūkio ir aplinkos skyriaus parengtų techninių projektų</t>
  </si>
  <si>
    <t>13,00</t>
  </si>
  <si>
    <t>9,00</t>
  </si>
  <si>
    <t>10,00</t>
  </si>
  <si>
    <t>02.</t>
  </si>
  <si>
    <t>Kultūros plėtros programa</t>
  </si>
  <si>
    <t>02.01.</t>
  </si>
  <si>
    <t>Skatinti įvairių visuomenės grupių dalyvavimą kultūroje puoselėjant kultūros tradicijas ir  kultūrinės raiškos įvairovę bei gerinti kultūrinių paslaugų prieinamumą ir kokybę</t>
  </si>
  <si>
    <t>Gyventojų įsitraukimo į miesto kultūrinį gyvenimą augimas</t>
  </si>
  <si>
    <t>0,50</t>
  </si>
  <si>
    <t>1,50</t>
  </si>
  <si>
    <t>Kultūros paslaugų vartotojų skaičiaus augimas</t>
  </si>
  <si>
    <t>02.01.01.</t>
  </si>
  <si>
    <t>Užtikrinti miesto kultūrinio gyvenimo gyvybingumą, ugdyti ir skatinti miesto gyventojų ir jaunimo pilietinį aktyvumą bei tautinį sąmoningumą</t>
  </si>
  <si>
    <t>02.01.01.01</t>
  </si>
  <si>
    <t>Skatinti Šiaulių miesto kultūros ir meno įvairovę, sklaidą, prieinamumą</t>
  </si>
  <si>
    <t>Finansuotų kultūros projektų</t>
  </si>
  <si>
    <t>24,00</t>
  </si>
  <si>
    <t>27,00</t>
  </si>
  <si>
    <t>25,00</t>
  </si>
  <si>
    <t>26,00</t>
  </si>
  <si>
    <t>02.01.01.02</t>
  </si>
  <si>
    <t>Skatinti meno kūrėjus</t>
  </si>
  <si>
    <t>Įteiktų premijų ir stipendijų</t>
  </si>
  <si>
    <t>11,00</t>
  </si>
  <si>
    <t>02.01.01.10</t>
  </si>
  <si>
    <t>Užtikrinti reprezentacinių Šiaulių miesto festivalių tęstinumą, jų ilgalaikiškumą, dalinį finansavimą, skatinti naujų idėjų, raiškos formų atsiradimą ir raidą</t>
  </si>
  <si>
    <t>Finansuotų festivalių</t>
  </si>
  <si>
    <t>Sukurtų reprezentacinių miesto priemonių</t>
  </si>
  <si>
    <t>02.01.01.11.</t>
  </si>
  <si>
    <t>Koordinuoti valstybinių švenčių, atmintinų datų paminėjimą, svarbių renginių, plenerų organizavimą, puoselėti tautines tradicijas</t>
  </si>
  <si>
    <t>Surengtų miesto švenčių</t>
  </si>
  <si>
    <t>Surengtų valstybinių švenčių ir atmintinų dienų</t>
  </si>
  <si>
    <t>Per I ketv. surengti Sausio 13-osios, Laisvės gynėjų dienos (1), Vasario 16-osios, Lietuvos valstybės atkūrimo dienos (1), ir Kovo 11-osios, Lietuvos  nepriklausomybės atkūrimo dienos minėjimai (1). Iš viso surengti 3-jų atmintinų dienų renginiai. 
Per II ketv. surengtas Tarptautinės vaikų dienos renginys „Aš mažasis šiaulietis“ (1), Gedulo ir vilties dienos minėjimas (1) ir šiai dienai skirtas koncertas, Kultūros dienos renginys (1). Iš viso surengti 3-jų valstybinių švenčių renginiai.
Per III ketv. surengti liepos 6-osios, Valstybės (Lietuvos karaliaus Mindaugo karūnavimo) dienos renginys, Baltijos kelio ir Laisvės  dienos renginiai. Iš viso surengti  2-jų valstybinių švenčių renginiai. 
Per IV ketv. 2021-10-01 surengti Tarptautinės pagyvenusių žmonių dienos renginiai. Per 2021 metus surengti 8-nių valstybinių švenčių / atmintinų dienų renginiai.</t>
  </si>
  <si>
    <t>Įgyvendintų Tolygios kultūrinės raidos programos projektų</t>
  </si>
  <si>
    <t>50,00</t>
  </si>
  <si>
    <t>40,00</t>
  </si>
  <si>
    <t>Parengtų valstybinių švenčių, atmintinų dienų, kalendorinių ir miesto švenčių renginių programų</t>
  </si>
  <si>
    <t>12,00</t>
  </si>
  <si>
    <t>Surengtų kalendorinių švenčių</t>
  </si>
  <si>
    <t>Įgyvendintų svarbių miesto renginių / projektų</t>
  </si>
  <si>
    <t>20,00</t>
  </si>
  <si>
    <t>02.01.04.</t>
  </si>
  <si>
    <t>Užtikrinti kultūros paslaugų sklaidą ir prieinamumą gyventojams</t>
  </si>
  <si>
    <t>02.01.04.01</t>
  </si>
  <si>
    <t>Užtikrinti kultūros įstaigų veiklą</t>
  </si>
  <si>
    <t>Surengtų parodų</t>
  </si>
  <si>
    <t>64,00</t>
  </si>
  <si>
    <t>68,00</t>
  </si>
  <si>
    <t>2.01.</t>
  </si>
  <si>
    <t>Surengtų koncertų</t>
  </si>
  <si>
    <t>165,00</t>
  </si>
  <si>
    <t>170,00</t>
  </si>
  <si>
    <t>I ketv. Šiaulių miesto kultūros centras „Laiptų galerija“ surengė 1 virtualų etninės kultūros koncertą. Šiaulių miesto koncertinė įstaiga „Saulė“ - 10 koncertų: 2 gyvai (Vasario 16-osios ir Kovo 11-osios minėjimų koncertai Prisikėlimo a.), 8 virtualius koncertus. Iš viso I ketv. surengta 11 koncertų, iš jų: 2 gyvai, 9 virtualūs koncertai.
II ketv. Šiaulių miesto kultūros centras „Laiptų galerija“ surengė 13 koncertų, iš jų: 10 koncertų gyvai ir 3 virtualiai. Šiaulių miesto koncertinė įstaiga „Saulė“ - 20 koncertų, iš jų: 18 koncertų gyvai ir 2 koncertus virtualiai. Iš viso II ketv. surengti 33 koncertai, iš jų: 28 gyvai, 5 virtualūs koncertai.
Per III ketv. Šiaulių miesto kultūros centras „Laiptų galerija“ surengė 24 koncertus, iš jų:  - 23 gyvai  ir  1 folkloro koncertą virtualiai. Šiaulių miesto koncertinė įstaiga „Saulė“ surengė 29 koncertus gyvai. Šiaulių kultūros centras surengė 21 koncertą gyvai. Iš viso per III ketv. surengti 74 koncertai, iš jų 73 gyvai ir 1 virtualiai.
Per IV ketv. Šiaulių miesto kultūros centras „Laiptų galerija“ surengė 27 koncertus gyvai, Šiaulių kultūros centras 17 gyvai, Šiaulių miesto koncertinė įstaiga „Saulė“ 20 koncertų gyvai. Iš viso per IV ketv. buvo surengta 64 koncertai gyvai. Iš viso per 2021 m. kultūros įstaigos surengė 182 koncertus, iš jų:167 gyvai, 15 virtualiai.</t>
  </si>
  <si>
    <t>2.03.</t>
  </si>
  <si>
    <t>Surengtų renginių</t>
  </si>
  <si>
    <t>892,00</t>
  </si>
  <si>
    <t>912,00</t>
  </si>
  <si>
    <t>1.09.</t>
  </si>
  <si>
    <t>Įgyvendintų projektų</t>
  </si>
  <si>
    <t>30,00</t>
  </si>
  <si>
    <t>Lankytojų (parodų, ekspozicijų viešosiose erdvėse, renginių, bibliotekos lankytojų)</t>
  </si>
  <si>
    <t>171 484,00</t>
  </si>
  <si>
    <t>174 913,00</t>
  </si>
  <si>
    <t>1.05.</t>
  </si>
  <si>
    <t>Žiūrovų (koncertų, spektaklių, renginių ir kt.)</t>
  </si>
  <si>
    <t>85 760,00</t>
  </si>
  <si>
    <t>87 400,00</t>
  </si>
  <si>
    <t>Dalyvių / žiūrovų (edukacijų, festivalių, kino peržiūrų ir kt.)</t>
  </si>
  <si>
    <t>62 595,00</t>
  </si>
  <si>
    <t>63 847,00</t>
  </si>
  <si>
    <t>Šiaulių turizmo informacijos centro ir „Baltų kelio“ centro lankytojų</t>
  </si>
  <si>
    <t>18 054,00</t>
  </si>
  <si>
    <t>18 957,00</t>
  </si>
  <si>
    <t>Šiaulių turizmo informacijos centro ekskursijų dalyvių</t>
  </si>
  <si>
    <t>1 833,00</t>
  </si>
  <si>
    <t>1 925,00</t>
  </si>
  <si>
    <t>Surengtų edukacijų</t>
  </si>
  <si>
    <t>315,00</t>
  </si>
  <si>
    <t>320,00</t>
  </si>
  <si>
    <t>Per I ketv. Savivaldybės viešoji biblioteka surengė 22 virtualias edukacijas; Šiaulių miesto kultūros centras „Laiptų galerija“ - 10 virtualių edukacijų; Šiaulių dailės galerija -16 virtualių edukacijų; Šiaulių kultūros centras - 188 virtualias edukacijas. Iš viso per I ketv. surengta 236 virtualios edukacijos.
Per II ketv. Savivaldybės viešoji biblioteka surengė 64 edukacijas (38 gyvai, 26 virt.); Šiaulių miesto kultūros centras „Laiptų galerija“ - 35 edukacijas, iš jų: 32 gyvai, 3 virtualiai; Šiaulių dailės galerija - 42 edukacijas, iš jų: 21 gyvai, 21 virtualiai; Šiaulių kultūros centras - 26 edukacijas, iš jų: 3 gyvai, 23 virtualiai. Iš viso per II ketv. surengta 167 edukacijos, iš jų: 94 gyvai, 73 virtualios edukacijos.
Per III ketv. Savivaldybės viešoji biblioteka surengė 50 edukacijų, iš jų: 46 gyvai, 4 virtualiai; Šiaulių miesto kultūros centras „Laiptų galerija“ - 27 edukacijas gyvai; Šiaulių dailės galerija - 53 edukacijas gyvai; Šiaulių kultūros centras - 7 edukacijas gyvai. Iš viso per III ketv. surengtos 137 edukacijos, iš jų: 133 gyvai, 4 virtualiai.
Per IV ketv. Savivaldybės viešoji biblioteka surengė 102 edukacijas, iš jų: 92 edukacijas gyvai, 10 virtualiai; Šiaulių miesto kultūros centras „Laiptų galerija“ - 27 edukacijas gyvai; Šiaulių dailės galerija - 70 edukacijų, iš jų: 66 edukacijas gyvai, 4 virtualiai; Šiaulių kultūros centras - 43 edukacijas, iš jų: 42 edukacijas gyvai, 1 edukaciją virtualiai. Iš viso per IV ketv. kultūros įstaigose surengtos 242 edukacijos, iš jų: 227 edukacijos gyvai, 15 virtualių edukacijų. Per 2021 metus kultūros įstaigose iš viso surengta 782 edukacijos, iš jų: 454 gyvai, 328 virtualios edukacijos.</t>
  </si>
  <si>
    <t>02.02.</t>
  </si>
  <si>
    <t>Stiprinti miesto įvaizdį plėtojant turizmo sektorių</t>
  </si>
  <si>
    <t>Turistų ir lankytojų skaičiaus Šiaulių mieste augimas</t>
  </si>
  <si>
    <t>02.02.01.</t>
  </si>
  <si>
    <t>Rekonstruoti / renovuoti biudžetinių kultūros įstaigų pastatus</t>
  </si>
  <si>
    <t>02.02.01.02</t>
  </si>
  <si>
    <t>Aktualizuoti Šiaulių kultūros centrą (Aušros al. 31)</t>
  </si>
  <si>
    <t>Baigiamųjų dokumentų tvarkymas ir finansinių srautų valdymas</t>
  </si>
  <si>
    <t>Organizuotas papildomas atliktų darbų bei jų kiekių įvertinimas.</t>
  </si>
  <si>
    <t>02.02.01.04</t>
  </si>
  <si>
    <t>Atnaujinti (modernizuoti) Šiaulių miesto koncertinę įstaigą „Saulė" (Tilžės g. 140), rekonstruoti pastatą ir pastatyti priestatą</t>
  </si>
  <si>
    <t>Atlikta planuotų darbų</t>
  </si>
  <si>
    <t>2.02.</t>
  </si>
  <si>
    <t>02.02.01.05</t>
  </si>
  <si>
    <t>Atlikti Šiaulių miesto kultūros centro „Laiptų galerija" senojo pastato (P. Bugailiškio namas, Žemaitės g. 83) tvarkomuosius statybos darbus</t>
  </si>
  <si>
    <t>02.02.01.07</t>
  </si>
  <si>
    <t>Atnaujinti (modernizuoti) Šiaulių dailės galerijos pastatą (Vilniaus g. 245)</t>
  </si>
  <si>
    <t>02.02.01.08</t>
  </si>
  <si>
    <t>Atlikti Šiaulių kultūros centro Rėkyvos kultūros namų fasado ir vidaus patalpų remontą</t>
  </si>
  <si>
    <t>90,00</t>
  </si>
  <si>
    <t>02.02.01.09</t>
  </si>
  <si>
    <t>Pritaikyti patalpas Vilniaus g. 213 turizmo paslaugų plėtrai</t>
  </si>
  <si>
    <t>Atlikta planuotų remonto darbų</t>
  </si>
  <si>
    <t>02.02.01.10</t>
  </si>
  <si>
    <t>Įgyvendinti projektą „Šiaulių miesto centrinio parko estrados modernizavimas ir pritaikymas visuomenės poreikiams“</t>
  </si>
  <si>
    <t>Atlikta modernizavimo darbų</t>
  </si>
  <si>
    <t>Per 2021 m. įvykdytas projektas ir renovuota Šiaulių miesto centrinio parko estrada. Bendras estrados  komplekso plotas siekia 11 tūkst. kv. m., pastatas su persirengimo, grimo, pagalbinėmis patalpomis ir viešaisiais tualetais – 192,31 kv. m., scenos spindulys – 14 m., amfiteatre įrengta daugiau nei 5000 sėdimų vietų.  Rekonstruotame estrados komplekse  iškilo erdvi scena, pridengta lengvos konstrukcijos balno formos stogu. Galinėje estrados pusėje suprojektuotas pastatas, kuriame įrengti grimo kambariai, sanitariniai mazgai, poilsio kambarys, techninės, persirengimo ir viešojo tualeto patalpos. Įsigyti reikalingi baldai bei interaktyvus lauko stendas. Pakeliui į rūbinių korpusą, įrengtas keltuvas, pritaikytas žmonėms su negalia, parengtas ir sumontuotas stendas (informacija apie projektą), gautas valstybinės komisijos leidimas eksploatuoti objektą, 2021-10-07 pasirašytas  Statybos  darbų užbaigimo aktas. Šiaulių centrinio parko estrada įregistruota Nekilnojamojo turto registro duomenų bazėje (2021-12-13 išrašas).</t>
  </si>
  <si>
    <t>02.03.</t>
  </si>
  <si>
    <t>Stiprinti miesto įvaizdį ir tapatybę plėtojant pažintinį-kultūrinį turizmą</t>
  </si>
  <si>
    <t>Įvykdyta miesto įvaizdžio rinkodaros programos priemonių</t>
  </si>
  <si>
    <t>02.03.01.</t>
  </si>
  <si>
    <t>Vystyti aktyvaus laisvalaikio turizmą</t>
  </si>
  <si>
    <t>02.03.01.01</t>
  </si>
  <si>
    <t>Įgyvendinti projektą „Savivaldybes jungiančios turizmo informacinės infrastruktūros plėtra Šiaulių regione“</t>
  </si>
  <si>
    <t>Įrengti ženklinimo infrastruktūros objektai</t>
  </si>
  <si>
    <t>35,00</t>
  </si>
  <si>
    <t>Šiaulių miesto savivaldybėje pasatyti 35 ženklinimo infrastruktūros objektai. Taip pat atlikti paramos lėšų mokėjimai partneriams už projektų partnerių savivaldybėse įrengtus ženklinimo infrastruktūros objektus: Šiaulių rajone 498, Joniškio rajone 81, Pakruojo rajone 214, Radviliškio rajone 114, Kelmės rajone 500.</t>
  </si>
  <si>
    <t>1.08.</t>
  </si>
  <si>
    <t>02.03.01.02</t>
  </si>
  <si>
    <t>Įgyvendinti projektą „Tarptautinis kultūros turizmo kelias - Baltų kelias“</t>
  </si>
  <si>
    <t>02.03.01.03</t>
  </si>
  <si>
    <t>Įgyvendinti projektą „Baltų kultūros pažinimo skatinimas ir žinomumo apie tarptautinį kultūros kelią „Baltų kelias“ didinimas“</t>
  </si>
  <si>
    <t>Įgyvendinta projekto veiklų</t>
  </si>
  <si>
    <t>02.03.01.04</t>
  </si>
  <si>
    <t>Įgyvendinti projektą „Saulės kelias“</t>
  </si>
  <si>
    <t>02.03.01.05</t>
  </si>
  <si>
    <t>Suorganizuotų Europos paveldo dienų renginių ciklų</t>
  </si>
  <si>
    <t>Įvykdytų religinio turizmo skatinimo priemonių</t>
  </si>
  <si>
    <t>02.03.02.</t>
  </si>
  <si>
    <t>Stiprinti miesto identitetą, vykdyti įvaizdžio rinkodaros programą</t>
  </si>
  <si>
    <t>02.03.02.01</t>
  </si>
  <si>
    <t>Sukurti miesto įvaizdžio rinkodaros strategiją ir ją įgyvendinti</t>
  </si>
  <si>
    <t>Įgyvendinta strategijos veiklų</t>
  </si>
  <si>
    <t>2021 metais Šiaulių turizmo informacijos centras atstovavo Šiaulių miestą ir pristatė turizmo išteklius bei galimybes  parodoje „Rinkis prekę Lietuvišką 2021“ (Kaunas, Lietuva), 3 nacionaliniuose renginiuose bei šventėse: „Jūros šventėje 2021“ Klaipėdoje, „Sostinės dienose 2021“ Vilniuje ir „Šiaulių dienose 2021“ Šiauliuose. Per IV ketv. atliktas užsakymas dalyvauti tarptautinėje turizmo parodoje „Adventur 2022“. Įsigyta reprezentacinio Šiaulių miesto stendo įrengimo paslauga. Stendas bus naudojamas Šiauliams pristatyti tarptautinėse parodose Lietuvoje ir Latvijoje: „Adventur 2022“, (Vilnius, Lietuva); „Balttour 2022“ (Ryga, Latvija); „Vilniaus knygų mugė 2022“ (Vilnius, Lietuva). Suorganizuoti 2 informaciniai-pažintiniai turai, kuriuose iš viso dalyvavo 18 asmenų:
1. Tartu (Estija) apskrities turizmo įmonių atstovams (17 dalyvių).
2. Baltijos kelionių portalo www.travelblog.lv vadovui, įkūrėjui, žurnalistui (1 dalyvis).</t>
  </si>
  <si>
    <t>03.</t>
  </si>
  <si>
    <t>Aplinkos apsaugos programa</t>
  </si>
  <si>
    <t>03.01.</t>
  </si>
  <si>
    <t>Pagerinti aplinkos kokybę mieste, kurti darnaus vystymosi principais pagrįstą sveiką ir švarią gyvenamąją aplinką mieste</t>
  </si>
  <si>
    <t>Sutvarkytas komunalinių atliekų kiekis</t>
  </si>
  <si>
    <t>t</t>
  </si>
  <si>
    <t>38 000,00</t>
  </si>
  <si>
    <t>03.01.01.</t>
  </si>
  <si>
    <t>Plėtoti ir tobulinti miesto komunalinių atliekų tvarkymo sistemą</t>
  </si>
  <si>
    <t>03.01.01.01.</t>
  </si>
  <si>
    <t>Įgyvendinti komunalinių atliekų tvarkymą</t>
  </si>
  <si>
    <t>Sutvarkyta komunalinių atliekų</t>
  </si>
  <si>
    <t>Iš vietinės gyventojų rinkliavos už komunalines atliekas apmokama Všį Šiaulių regiono atliekų tvarkymo centrui už atliekų surinkimą, apdorojimą.</t>
  </si>
  <si>
    <t>Įsigyti konteineriai atliekų surinkimui</t>
  </si>
  <si>
    <t>500,00</t>
  </si>
  <si>
    <t>Įgyvendintas bandomasis maisto-virtuvės atliekų surinkimo iš daugiabučių namų Šiaulių mieste projektas</t>
  </si>
  <si>
    <t>03.01.01.02</t>
  </si>
  <si>
    <t>Kompensuoti fiziniams asmenims asbesto turinčių gaminių atliekų šalinimą</t>
  </si>
  <si>
    <t>Kompensuota už asbesto gaminių šalinimą</t>
  </si>
  <si>
    <t>Asbesto turinčių gaminių atliekas individualių namų gyventojai ir visuomeninės paskirties pastatų savininkai (naudotojai) gali nemokamai sutvarkyti Šiaulių regiono nepavojingų atliekų sąvartyne. Paslaugos teikiamos pagal poreikį.</t>
  </si>
  <si>
    <t>Surinkta asbesto</t>
  </si>
  <si>
    <t>70,00</t>
  </si>
  <si>
    <t>Padidinus finansavimą metų bėgyje, įgyvendinimo rodiklis padvigubėjo.</t>
  </si>
  <si>
    <t>1.11.</t>
  </si>
  <si>
    <t>03.01.01.03</t>
  </si>
  <si>
    <t>Įgyvendinti projektą „Komunalinių atliekų rūšiuojamojo surinkimo infrastruktūros plėtra Šiaulių regione"</t>
  </si>
  <si>
    <t>Įrengta konteinerių aikštelių</t>
  </si>
  <si>
    <t>Įrengta didelio gabarito atliekų surinkimo aikštelė (DGSA) su pakartotiniam panaudojimui tinkamų atliekų surinkimu</t>
  </si>
  <si>
    <t>03.01.01.04</t>
  </si>
  <si>
    <t>Įgyvendinti projektą  „Rūšiuojamuoju būdu surinktų maisto/virtuvės atliekų apdorojimo infrastruktūros sukūrimas Šiaulių regione"</t>
  </si>
  <si>
    <t>Parengta techninė dokumentacija</t>
  </si>
  <si>
    <t>Įsigyta įranga</t>
  </si>
  <si>
    <t>03.01.02.</t>
  </si>
  <si>
    <t>Įgyvendinti želdynų ir želdinių apsaugos bei tvarkymo priemones</t>
  </si>
  <si>
    <t>03.01.02.01.</t>
  </si>
  <si>
    <t>Atlikti žemės sklypų kadastrinius matavimus ir organizuoti atskirųjų želdynų įrašymą į Nekilnojamo turto registrą ir kadastrą, inventorizuoti miesto želdynus</t>
  </si>
  <si>
    <t>Parengta želdynų dokumentacija (INVENTORIZACIJA)</t>
  </si>
  <si>
    <t>Neparengta, nes Lietuvos respublikos Želdynų įstatymo Nr. X-1241 pakeitimo įstatymo 2021 m. kovo 23 d. Nr. XVI199 2 str. 8 punktu, nurodo numatytas funkcijas teikti ir tvarkyti želdynų ir želdinių erdvinius duomenis pradėti vykdyti nuo 2022 m. sausio 1 d.</t>
  </si>
  <si>
    <t>03.01.02.02</t>
  </si>
  <si>
    <t>Parengti ir įgyvendinti želdynų pertvarkymo projektus</t>
  </si>
  <si>
    <t>Parengti želdynų projektai ir atlikti darbai</t>
  </si>
  <si>
    <t>Įgyvendintas Želdinių pertvarkymo ir įgyvendinimo prie Vilniaus g. 22-34 projektas, nupirkti želdynų projektai Vilniaus-Gumbinės, Ežero-Trakų ir Ežero-Vilniaus g., skelbtas dar vienas pirkimo konkursas dėl želdynų projekto, bet nesulaukta dalyvių.</t>
  </si>
  <si>
    <t>03.01.02.03.</t>
  </si>
  <si>
    <t>Vykdyti želdinių priežiūrą (tręšimas, genėjimas, kaštonų lapų tvarkymas, Sosnovskio barščio naikinimas)</t>
  </si>
  <si>
    <t>Užtikrinti želdinių priežiūrą (genėjimas, atžalų šalinimas, kelmų sutvarkymas, laistymas, tręšimas, kaštonų lapų surinkimas), pagal skirtą finansavimą</t>
  </si>
  <si>
    <t>Paslaugos teikiamos pagal poreikį. Nugenėta 2598 vnt. medžių, palaistyta 1411 vnt.</t>
  </si>
  <si>
    <t>Sosnovskio barščio naikinimas</t>
  </si>
  <si>
    <t>m2</t>
  </si>
  <si>
    <t>11 069,00</t>
  </si>
  <si>
    <t>9 596,00</t>
  </si>
  <si>
    <t>03.01.02.04</t>
  </si>
  <si>
    <t>Sodinti naujus želdinius prie miesto gatvių, parkuose ir skveruose</t>
  </si>
  <si>
    <t>Pasodinta želdinių</t>
  </si>
  <si>
    <t>Pasodinta 218 vnt. želdinių (didžioji dalis iš jų - 118 vnt. klevai), 66 krūmai (iš jų 35 vnt. vakarinės tujos), 136 vnt. medžio kamieno apsaugos.</t>
  </si>
  <si>
    <t>Želdynų dalies pagal Talkšos projektą įgyvendinimas</t>
  </si>
  <si>
    <t>60,00</t>
  </si>
  <si>
    <t>1.12.</t>
  </si>
  <si>
    <t>03.01.02.05</t>
  </si>
  <si>
    <t>Prūdelio tvenkinio kraštovaizdžio formavimas ir ekologinės būklės gerinimas</t>
  </si>
  <si>
    <t>Įrengta kraštovaizdžio formavimo priemonių</t>
  </si>
  <si>
    <t>03.01.03.</t>
  </si>
  <si>
    <t>Įgyvendinti aplinkos monitoringo, prevencines, aplinkos kokybės gerinimo priemones</t>
  </si>
  <si>
    <t>03.01.03.04</t>
  </si>
  <si>
    <t>Vykdyti lietaus nuotekų sistemos griovių tvarkymą</t>
  </si>
  <si>
    <t>Sutvarkyta lietaus sistemos griovių</t>
  </si>
  <si>
    <t>Atlikta: valytos pralaidos: Purienų g. 18 vnt.; Klaipėdos g. 11 vnt.; Sodo g. 8 vnt.; Numerių g. 7 vnt.; Bielskio g.4 vnt.; Ginkūnų g. 3 vnt.; pralaidos Vijolės upelyje 3 vnt., Kulpės upelyje 3 vnt.; Kalniškių g. 2 vnt.; Alytaus, Pailių, Poilsio, Žagarės, griovyje prie Žuvininkų g.  - po 1 vnt.</t>
  </si>
  <si>
    <t>03.01.03.05</t>
  </si>
  <si>
    <t>Įgyvendinti projektą „Šiaulių miesto paviršinių nuotekų tvarkymo sistemos inventorizavimas, paviršinių nuotekų tvarkymo infrastruktūros rekonstravimas ir plėtra"</t>
  </si>
  <si>
    <t>Projekto veiklos baigtos. Atliktas galutinis mokėjimas projekto partneriui UAB "Šiaulių vandenys".</t>
  </si>
  <si>
    <t>03.01.03.07</t>
  </si>
  <si>
    <t>Vykdyti geriamojo vandens tiekimo ir nuotekų tvarkymo infrastruktūros plėtrą</t>
  </si>
  <si>
    <t>Vandentiekio ir nuotekų kanalizacijos trasos nutiesimas  Aerouosto g. 35 UAB Putokšnis kartu su UAB Šiaulių vandenys</t>
  </si>
  <si>
    <t>m</t>
  </si>
  <si>
    <t>03.01.05.</t>
  </si>
  <si>
    <t>Sutvarkyti užterštas teritorijas, buvusius karjerus ir durpynus</t>
  </si>
  <si>
    <t>03.01.05.02</t>
  </si>
  <si>
    <t>Tvarkyti užterštas teritorijas Šiaulių mieste</t>
  </si>
  <si>
    <t>Sutvarkyta užterštų teritorijų (4463, 4464,11555, 11556, 11557)</t>
  </si>
  <si>
    <t>Medžių ir krūmų iškirtimas ir sutvarkymas - 12 ha. Teritorijos reljefo išlyginimas - 180 m3.</t>
  </si>
  <si>
    <t>Užteršto grunto valymui reikalingų gręžinių tinklo įrengimas - 25 kompl. Laikinos elektros linijos įrengimas valomuose plotuose, sumontuota ir paleista valymo įranga, užteršto grunto valymas cheminėmis medžiagomis - 29000 m3, atliekamas valymo monitoringas. Užteršto grunto valymas cheminės oksidacijos būdu 99 000 m3.Užteršto grunto valymas biovalymo būdu 1820 m3.</t>
  </si>
  <si>
    <t>03.01.06.</t>
  </si>
  <si>
    <t>Vykdyti miesto aplinkos kokybės stebėseną</t>
  </si>
  <si>
    <t>03.01.06.01</t>
  </si>
  <si>
    <t>Vykdyti Šiaulių miesto aplinkos kokybės stebėseną (triukšmo, oro, paviršinių vandens telkinių)</t>
  </si>
  <si>
    <t>Finansuojama įstaigų (Šiaulių municipalinė aplinkos tyrimų laboratorija)</t>
  </si>
  <si>
    <t>Finansuojama Šiaulių municipalinė aplinkos tyrimų laboratorija, darbo užmokestis ir kitoms reikmėms</t>
  </si>
  <si>
    <t>Parengta stebėsenos ataskaita (vykdoma stebėsena, įsigyjamos reikalingos priemonės ir paslaugos)</t>
  </si>
  <si>
    <t>Visus 2021 metus buvo vykdoma aplinkos stebėsena. Buvo tiriama aplinkos oro kokybė, paviršinio vandens būklė, triukšmas. Parengta ataskaita.</t>
  </si>
  <si>
    <t>03.01.06.02</t>
  </si>
  <si>
    <t>Gerinti aplinkos oro kokybę, įgyvendinti aplinkos oro kokybės valdymo programą</t>
  </si>
  <si>
    <t>Išvalyta pavasarinio purvo (dėl pakeltosios taršos  - gatvių sąšlavos)</t>
  </si>
  <si>
    <t>420,00</t>
  </si>
  <si>
    <t>460,00</t>
  </si>
  <si>
    <t>Pavasarį, siekiant sumažinti aplinkos oro taršą kietosiomis dalelėmis (KD10), valoma gatvių su asfalto danga važiuojamoji dalis. Atliktas pavasarinio purvo nuo gatvių valymas, kovo - balandžio mėn. už 22272,87 eur. Daugiau sąskaitų negauta.</t>
  </si>
  <si>
    <t>03.01.06.03</t>
  </si>
  <si>
    <t>Vykdyti požeminio vandens ir dirvožemio užterštumo būklės stebėseną</t>
  </si>
  <si>
    <t>Parengta požeminio vandens ir dirvožemio ataskaita (bei atlikti tyrimai stebimose Šiaulių miesto vietose)</t>
  </si>
  <si>
    <t>Atlikta kasmetinė Šiaulių miesto požeminio vandens ir dirvožemio užterštumo stebėsena. Stebėtas požeminio vandens lygis, fizikiniai ir cheminiai rodikliai, atlikti tyrimai, lyginamoji analizė, pateiktos išvados, parengta ataskaita. Talkšos ežero pakrantėje, prie Uosių gatvės buvo sutvarkyti 3 stebimieji gręžiniai, suvienodinant jų aukščius.</t>
  </si>
  <si>
    <t>03.01.06.04</t>
  </si>
  <si>
    <t>Optimizuoti aplinkos kokybės stebėseną ir optimizuoti vertinimo sistemą, sukurti interaktyvią/informacinę duomenų bazę.  Įgyvendinti projektą „Aplinkos oro kokybės gerinimas Šiaulių mieste"</t>
  </si>
  <si>
    <t>2021 m. baigtas įgyvendinti projektas "Aplinkos oro kokybės gerinimas Šiaulių mieste". Pateiktas galutinis mokėjimo prašymas (nulinis).</t>
  </si>
  <si>
    <t>03.01.07.</t>
  </si>
  <si>
    <t>Vykdyti visuomenės švietimo ir mokymo aplinkosaugos klausimais priemones</t>
  </si>
  <si>
    <t>03.01.07.02</t>
  </si>
  <si>
    <t>Remti nevyriausybinių organizacijų aplinkosauginio švietimo projektų įgyvendinimą</t>
  </si>
  <si>
    <t>Paremta projektų</t>
  </si>
  <si>
    <t>Buvo gauta tik 1 projekto paraiška apie maisto atliekų tvarkymą. Po projektų vertinimo komisijos narių sprendimo, nuspręsta dalinai finansuoti projektą ir skirti 2420 eurų. Projektas įgyvendintas, ataskaitos pateiktos.</t>
  </si>
  <si>
    <t>03.01.07.03.</t>
  </si>
  <si>
    <t>Įsigyti aplinkosauginius informacinius ir kt. leidinius</t>
  </si>
  <si>
    <t>Įsigyta leidinių</t>
  </si>
  <si>
    <t>Vykdant visuomenės aplinkosaugos švietimą, 2022 metams užsakyta 10 savaitraščio „Žaliasis pasaulis“ ir 10 žurnalo „Miškai“ prenumeratų. Šios prenumeratos skirtos Šiaulių miesto savivaldybės viešosios bibliotekos filialams, Šiaulių apskrities Povilo Višinskio viešajai bibliotekai, Šiaulių miesto savivaldybės administracijai ir Šiaulių miesto švietimo įstaigoms. Buvo įsigyta 10 knygų gamtos, atliekų mažinimo, klimato kaitos tema.</t>
  </si>
  <si>
    <t>03.01.07.04</t>
  </si>
  <si>
    <t>Organizuoti aplinkosauginius renginius, vykdyti visuomenės švietimą ir informavimą</t>
  </si>
  <si>
    <t>Organizuoti renginiai (Žemės diena, Europos judumo savaitė)</t>
  </si>
  <si>
    <t>Už 1470 eur Šiaulių Kultūros centras organizavo Žemės dieną, Kovo 20 d. buvo pakelta Pasaulinės žemės dienos vėliava, Prisikėlimo aikštėje per garsiakalbius buvo leidžiami gamtos, paukščių garsai. Buvo sukurtas ir viešinamas edukacinis vaizdo filmukas „Labas, Medi“. Organizuota medelių sodinimo akcija, kurioje dalyvavo 59 švietimo ir neformaliojo ugdymo įstaigos, pasodinti 104 medžiai ir dekoratyvinių krūmų sodinukai.</t>
  </si>
  <si>
    <t>Įgyvendinta visuomenės švietimo ir informavimo priemonių</t>
  </si>
  <si>
    <t>2021 m. spalio 19 d. buvo organizuoti protmūšiai „Kova su klimato kaita“ 5–8 klasių ir 9–12 klasių mokiniams. Šis renginys buvo skirtas Klimato savaitei paminėti. Dalyvavo 17 komandų. Protmūšiai buvo organizuojami nuotoliniu būdu. Daugiausia taškų surinkusios komandos gavo apdovanojimą – aplinkosaugines edukacijas apie džinsų perdirbimo idėjas.</t>
  </si>
  <si>
    <t>Paremtas egzotinių gyvūnų kampelis</t>
  </si>
  <si>
    <t>Šiaulių jaunųjų gamtininkų centras vykdo neformaliojo suaugusiųjų ir vaikų švietimo kraštotyros, gamtos, ekologijos ir kitų ugdymo krypčių programas. Įstaiga yra įkūrusi Gyvūnijos sodą. Gyvūnai naudojami visuomenės švietimui, organizuojant įvairias edukacines programas. Gyvūnijos sodo lankytojai, Šiaulių jaunųjų gamtininkų centro ugdytiniai turėjo puikias galimybes susipažinti su naminiais egzotiniais gyvūnais, įgyti žinių apie jų kilmę, gyvenimo sąlygas ir jų fiziologinius ypatumus. Įgyvendinus priemonę, buvo užtikrintos Gyvūnijos sodo gyvūnų gerovę atitinkančios gyvenimo sąlygos. Lėšos panaudotos gyvūnų veterinarinėms paslaugoms, tyrimams, vitaminams, papildams, pašarams, prekėms, skirtoms gerai gyvūnų gyvenimo kokybei užtikrinti.</t>
  </si>
  <si>
    <t>03.01.07.05</t>
  </si>
  <si>
    <t>Tvarkyti Talkšos ekologinį taką</t>
  </si>
  <si>
    <t>Parengta Talkšos ekologinio tako einamosios metinės priežiūros ataskaita (bei atlikta Talkšos ekologinio tako priežiūra)</t>
  </si>
  <si>
    <t>Lėšos Šiaulių Jaunųjų gamtininkų centrui tvarkyti Talkšos ekologinį taką: lėšos buvo panaudotos Salduvės ir Talkšos miško parkuose rinkti šiukšles, šalinti nukritusius medžius iš parkų erdvės, kirsti krūmokšnius, pjauti žolę, remontuoti statinius (sūpynes, suoliukus), gaminti ekologinio tako nuorodas ir kitų įrenginių kasmetinei priežiūrai, remontui, aplinkos priežiūrai.</t>
  </si>
  <si>
    <t>03.01.08.</t>
  </si>
  <si>
    <t>Pašalinti aplinkos teršimo šaltinius</t>
  </si>
  <si>
    <t>03.01.08.01</t>
  </si>
  <si>
    <t>Likviduoti pavojingus radinius ir ekologinių avarijų padarinius</t>
  </si>
  <si>
    <t>Likviduota radinių ir avarijų</t>
  </si>
  <si>
    <t>Apmokama Rėkyvos ugniagesių savanorių draugijai už gaisrų prevenciją - Rėkyvos ežero pakrančių stebėjimą, UAB „Žalvaris“ už pavojingų atliekų surinkimą ir utilizavimą, Šiaulių priešgaisrinei gelbėjimo valdybai perkama priemonių. Buvo gauta informacija iš Aplinkos apsaugos departamento prie Aplinkos ministerijos dėl žuvų dusimo Pabalių pelkės vandens telkiniuose. 4 dienas buvo vykdomas vandens prisotinimas deguonimi vandens siurbliais, siekiant padidinti deguonies koncentraciją vandenyje iki reikiamos normos. UAB „Žalvaris“ apmokama už pavojingų atliekų surinkimą ir utilizavimą: valstybinėje žemėje prie metalinių garažų eksploatavimo bendrijos Žemaitės g., Poilsio g. ir prie Paukščių tak. 6. Buvo surinkta ir utilizuota 187 kg panaudotos alyvos (pavojingųjų atliekų kodas 13 02 08*), 110 kg plastikinės užterštos pakuotės (pavojingųjų atliekų kodas 15 01 10*), 37 kg kitų tirpiklių ir tirpiklių mišinių (pavojingųjų atliekų kodas 14 06 03*),  969 kg grunto ir akmenų, kuriuose yra pavojingųjų medžiagų (atliekų kodas 17 05 03*), 430 kg bituminių mišinių, kuriuose yra akmens anglių dervų (pavojingųjų atliekų kodas 17 03 01*).</t>
  </si>
  <si>
    <t>03.01.09.</t>
  </si>
  <si>
    <t>Skatinti atsinaujinančių išteklių Šiaulių mieste naudojimą</t>
  </si>
  <si>
    <t>03.01.09.01</t>
  </si>
  <si>
    <t>Parengti atsinaujinančių išteklių energijos naudojimą Šiaulių mieste planą</t>
  </si>
  <si>
    <t>Atsinaujinačių išteklių energijos naudojimo plano parengimas</t>
  </si>
  <si>
    <t>03.02.</t>
  </si>
  <si>
    <t>Reguliuoti gyvūnų (šunų, kačių), laikomų Šiaulių miesto daugiabučiuose namuose, populiaciją, kontroliuoti jų priežiūrą</t>
  </si>
  <si>
    <t>Gyvūnams (šunims, katėms) skirtos įrangos viešosiose vietose priežiūra</t>
  </si>
  <si>
    <t>16,00</t>
  </si>
  <si>
    <t>03.02.03.</t>
  </si>
  <si>
    <t>Gyvūnų priežiūrai skirtos įrangos įrengimas ir priežiūra</t>
  </si>
  <si>
    <t>03.02.03.01</t>
  </si>
  <si>
    <t xml:space="preserve">Gyvenamuosiuose rajonuose, viešosiose vietose šunų išvedžiojimo aikštelių, kačių šėrimo vietų ir kitos gyvūnų priežiūrai skirtos įrangos įrengimas, remontas ir sanitarinė priežiūra </t>
  </si>
  <si>
    <t>Šunų išvedžiojimo aikštelių priežiūra, remontas</t>
  </si>
  <si>
    <t>Kačių šėrimo vietų priežiūra</t>
  </si>
  <si>
    <t>Periodiškai atliekama 11-os kačių šėrimo vietų priežiūra (žolės pjovimas, sniego kasimas ir kt.).</t>
  </si>
  <si>
    <t>Įrengtų aikštelių kokybiška priežiūra, remontai, aikštelių modernizavimas</t>
  </si>
  <si>
    <t>04.</t>
  </si>
  <si>
    <t>Miesto infrastruktūros objektų priežiūros, modernizavimo ir plėtros programa</t>
  </si>
  <si>
    <t>04.01.</t>
  </si>
  <si>
    <t>Modernizuoti miesto infrastruktūrą, užtikrinti  komunalinių paslaugų teikimą, infrastruktūros objektų  priežiūrą ir remontą</t>
  </si>
  <si>
    <t>Užtikrinti miesto priežiūrą, švarą, apšvietimą pagal skirtą finansavimą</t>
  </si>
  <si>
    <t>04.01.01.</t>
  </si>
  <si>
    <t xml:space="preserve">Vykdyti miesto infrastruktūros objektų priežiūrą, einamąjį remontą </t>
  </si>
  <si>
    <t>04.01.01.01.</t>
  </si>
  <si>
    <t>Tvarkyti aplinką ir vykdyti infrastruktūros objektų priežiūrą ir remontą</t>
  </si>
  <si>
    <t>Aplinkos tvarkymo (žaliųjų plotų, gėlynų, medžių kirtimas, benamių gyvūnų priežiūra, kapinių priežiūra); gatvių apšvietimo ir reguliavimo, sanitarinių paslaugų, gatvių, šaligatvių, aikštelių, vaikų žaidimo aikštelių, takų priežiūros ir  remonto užtikrinimas</t>
  </si>
  <si>
    <t>Miesto komunalinio ūkio priežiūra: žvyruotų gatvių greideriavimas; kelių dangos ženklinimas; eismo reguliavimo, saugių eismo priemonių diegimas, kryptinio apšvietimo įrengimas</t>
  </si>
  <si>
    <t>1.06.</t>
  </si>
  <si>
    <t>Vaikų žaidimo aikštelės įrengimas, pritaikant vaikams su negalia</t>
  </si>
  <si>
    <t>Miesto autobusų stoginių įrengimas</t>
  </si>
  <si>
    <t>Metalinių garažų teritorijos sutvarkymas</t>
  </si>
  <si>
    <t>04.01.01.05</t>
  </si>
  <si>
    <t>Remontuoti daugiabučių namų kiemų dangą</t>
  </si>
  <si>
    <t>Sutvarkyta, suremontuota planuotų einamaisiais metais kiemų įvažiavimų danga</t>
  </si>
  <si>
    <t>04.01.02.</t>
  </si>
  <si>
    <t>Vykdyti Šiaulių miesto kapinių infrastruktūros plėtrą</t>
  </si>
  <si>
    <t>04.01.02.02</t>
  </si>
  <si>
    <t>Vykdyti kapinių teritorijoje esančios infrastruktūros tvarkymą ir priežiūrą</t>
  </si>
  <si>
    <t>Kapinių skaitmeninės sistemos įdiegimas</t>
  </si>
  <si>
    <t>Tvarkomi takai, privažiavimai</t>
  </si>
  <si>
    <t>km</t>
  </si>
  <si>
    <t>Įrengta palaikų palaidojimo vieta prie Ginkūnų kapinių Tilžės g. - betoniniai takeliai 48,8 kv.m, žvyruotas takas apie 590 kv.m. ir privažiuojamasis kelias apie 550 kv.m, užsėta žole 625 kv.m.</t>
  </si>
  <si>
    <t>04.01.02.03</t>
  </si>
  <si>
    <t>Vykdyti kolumbariumo statybą ir priežiūrą</t>
  </si>
  <si>
    <t>Užtikrinta Kolumbariumo priežiūra (kolumbariumo ir takų valymas)</t>
  </si>
  <si>
    <t>Įgyvendinta kolumbariumo statyba</t>
  </si>
  <si>
    <t>Baigtas statyti 192 vietų kolumbariumas Ginkūnų kapinėse.</t>
  </si>
  <si>
    <t>04.01.02.04</t>
  </si>
  <si>
    <t>Vykdyti Daušiškių kapinių statybos ir infrastruktūros įrengimo darbus</t>
  </si>
  <si>
    <t>Įgyvendinti Daušiškių kapinių II etapo įrengimo darbai (paviršinių nuotekų tinklai, kapinių nusausinimas, vandentiekio tinklai, buitinių nuotekų tinklai)</t>
  </si>
  <si>
    <t>1.02.</t>
  </si>
  <si>
    <t>04.01.03.</t>
  </si>
  <si>
    <t xml:space="preserve"> Renovuoti, modernizuoti ir plėsti gatvių apšvietimo ir šviesoforų infrastruktūrą</t>
  </si>
  <si>
    <t>04.01.03.01</t>
  </si>
  <si>
    <t>Vykdyti išorinio apšvietimo tinklų įrengimo ar rekonstrukcijos projektavimo, infrastruktūros objektų apšvietimo įrengimo darbus</t>
  </si>
  <si>
    <t>Įrengtos naujo apšvietimo atramos</t>
  </si>
  <si>
    <t>Naujo gatvių ir kiemų apšvietimo įrengimas neapšviestose teritorijose</t>
  </si>
  <si>
    <t>04.01.03.02</t>
  </si>
  <si>
    <t>Įgyvendinti šviesoforų infrastruktūros renovavimą,  koordinuoto valdymo įdiegimą</t>
  </si>
  <si>
    <t>Rekonstruotos šviesoforinio reguliavimo sankryžos</t>
  </si>
  <si>
    <t>04.01.04.</t>
  </si>
  <si>
    <t>Sutvarkyti viešąsias erdves</t>
  </si>
  <si>
    <t>04.01.04.01</t>
  </si>
  <si>
    <t>Įgyvendinti projektą „Prisikėlimo aikštės, jos jungčių ir prieigų rekonstrukcija“</t>
  </si>
  <si>
    <t>Atliktos visos užbaigimo ir turto įregistravimo procedūros. Patvirtintas galutinis mokėjimo prašymas.</t>
  </si>
  <si>
    <t>04.01.04.05</t>
  </si>
  <si>
    <t>Įgyvendinti projektą „Vilniaus gatvės pėsčiųjų bulvaro ir amfiteatro rekonstrukcija“</t>
  </si>
  <si>
    <t>Sukurtos arba atnaujintos atviros erdvės mieste</t>
  </si>
  <si>
    <t>Atlikta rangos darbų</t>
  </si>
  <si>
    <t>Apmokėtos 2021 m. gautos sąskaitos už 2020 m. ir 2021 m. Vilniaus g. pėsčiųjų bulvare atliktus darbus.</t>
  </si>
  <si>
    <t>Baigta tvarkyti projekto dokumentacija ir finansiniai srautai</t>
  </si>
  <si>
    <t>04.01.04.06</t>
  </si>
  <si>
    <t>Įgyvendinti projektą „Talkšos ežero pakrantės plėtra“</t>
  </si>
  <si>
    <t>04.01.04.07</t>
  </si>
  <si>
    <t>Įgyvendinti projektą „Viešųjų erdvių ir gyvenamosios aplinkos gerinimas teritorijoje, besiribojančioje su Draugystės prospektu, Vytauto gatve, P. Višinskio gatve ir Dubijos gatve"</t>
  </si>
  <si>
    <t>78 138,00</t>
  </si>
  <si>
    <t>04.01.04.08</t>
  </si>
  <si>
    <t>Įgyvendinti projektą „P. Višinskio gatvės viešųjų erdvių pritaikymas jaunimo poreikiams“</t>
  </si>
  <si>
    <t>04.01.04.09</t>
  </si>
  <si>
    <t>Įgyvendinti projektą „Šiaulių miesto centrinio ir Didždvario parkų bei jų prieigų sutvarkymas“</t>
  </si>
  <si>
    <t>65,00</t>
  </si>
  <si>
    <t>96,00</t>
  </si>
  <si>
    <t>197 965,00</t>
  </si>
  <si>
    <t>04.01.04.10</t>
  </si>
  <si>
    <t>Įgyvendinti projektą „Aušros alėjos (nuo Žemaitės g. iki Varpo g.) viešųjų pastatų ir viešųjų erdvių prieigų rekonstrukcija"</t>
  </si>
  <si>
    <t>04.01.04.12</t>
  </si>
  <si>
    <t>Vykdyti vaizdo stebėjimo kamerų sistemos plėtrą</t>
  </si>
  <si>
    <t>Prijungtų UAB "Šiaulių gatvių apšvietimas" dispozicijoje esančių vaizdo stebėjimo kamerų prie savivaldybės administracijos valdomos vaizdo stebėjimo sistemos</t>
  </si>
  <si>
    <t>sk.</t>
  </si>
  <si>
    <t>Įvyko vaizdo kamerų prijungimo prie Šiaulių miesto savivaldybės administracijos valdomos vaizdo stebėjimo sistemos pirkimas, sutartis su UAB "Telekonta" pasirašyta 2021-10-29, Nr. SŽ-1345. Priėmimo-perdavimo aktas Nr. 3421-1 pasirašytas 2021-12-21. Sudarytos techninės galimybės prijungti iki 16 vnt. UAB "Šiaulių gatvių apšvietimas" vaizdo stebėjimo kamerų. Faktiškai prijungta 1 UAB "Šiaulių gatvių apšvietimas" kamera.</t>
  </si>
  <si>
    <t>Gatvių, kuriose įrengta viešųjų vietų vaizdo stebėjimo sistema</t>
  </si>
  <si>
    <t>Alėjų ir pėsčiųjų takų, kuriuose įrengta viešųjų vietų vaizdo stebėjimo sistema, skaičius</t>
  </si>
  <si>
    <t>Įrengtų vaizdo stebėjimo kamerų</t>
  </si>
  <si>
    <t>04.01.04.13</t>
  </si>
  <si>
    <t>Atnaujinti Dainų taką</t>
  </si>
  <si>
    <t>Sukurtos arba atnaujintos erdvės mieste</t>
  </si>
  <si>
    <t>17 000,00</t>
  </si>
  <si>
    <t>04.01.04.14</t>
  </si>
  <si>
    <t>Vykdyti Dainų parko pėsčiųjų ir dviračių takų plėtrą</t>
  </si>
  <si>
    <t>1 465,00</t>
  </si>
  <si>
    <t>281,00</t>
  </si>
  <si>
    <t>04.02.</t>
  </si>
  <si>
    <t>Užtikrinti subalansuotą miesto susisiekimo sistemos vystymą</t>
  </si>
  <si>
    <t>Vykdyti miesto susisiekimo sistemos plėtrą</t>
  </si>
  <si>
    <t>04.02.01.</t>
  </si>
  <si>
    <t>Tobulinti miesto vidaus susisiekimo sistemą</t>
  </si>
  <si>
    <t>04.02.01.01.</t>
  </si>
  <si>
    <t>Vykdyti naujų magistralinių gatvių suprojektavimo ir nutiesimo, susisiekimo komunikacijų įrengimo, rekonstravimo ir remonto darbus</t>
  </si>
  <si>
    <t>Atlikta miesto gatvių, šaligatvių ir takų remonto darbų pagal skirtą finansavimą (Vaisių g., Šalkauskio g., Salantų g., Radviliškio g. šaligatvis, Dainų takas, Dainų parko takų plėtra)</t>
  </si>
  <si>
    <t>Atliktas išlyginamojo asfalto sluoksnio dengimas</t>
  </si>
  <si>
    <t>04.02.01.06</t>
  </si>
  <si>
    <t>Įrengti viešojo susisiekimo infrastruktūrą, siekiant pagerinti sąlygas verslo plėtrai</t>
  </si>
  <si>
    <t>Įrengtas Serbentų g. tęsinys nuo esamos Serbentų g. iki Aukštabalio g.</t>
  </si>
  <si>
    <t>72,00</t>
  </si>
  <si>
    <t>2021-10-08 sudaryta rangos darbų sutartis. Įrengti I etapo lietaus nuotekų tinklai.</t>
  </si>
  <si>
    <t>04.02.01.07</t>
  </si>
  <si>
    <t>Įrengti kelio Šiauliai-Panevėžys jungtį su Šiaulių industrinio parko teritorija</t>
  </si>
  <si>
    <t>Atlikta kelio rangos darbų</t>
  </si>
  <si>
    <t>P. Motiekaičio g. ruožas, ilgis 0,321 km, pėsč.dviračių takas 0,321 km, 720 m apšvietimo tinklai, 363 m lietaus nuotekų tinklai. Objektas nuspręstas įgyvendinti tik gavus finansavimą iš Ekonomikos ir inovacijų ministerijos.</t>
  </si>
  <si>
    <t>04.02.01.11</t>
  </si>
  <si>
    <t>Įgyvendinti projektą „Eismo saugumo priemonių įdiegimas Šiaulių mieste“</t>
  </si>
  <si>
    <t>Įdiegtos saugų eismą gerinančios ir aplinkosaugos priemonės</t>
  </si>
  <si>
    <t>Įdiegtos saugų eismą gerinančios priemonės Gegužių g.– Tilžės g. sankryžoje ir Tilžės g.– Statybininkų g.– Gardino g. sankryžoje</t>
  </si>
  <si>
    <t>04.02.01.13</t>
  </si>
  <si>
    <t>Įgyvendinti projektą „Darnus judumas ir kasdienių kelionių modeliavimas Baltijos jūros miestuose“</t>
  </si>
  <si>
    <t>Atlikta projekto rezultatų viešinimo kampanija</t>
  </si>
  <si>
    <t>Atlikta projekto rezultatų viešinimo kampanija. Viešinta mobilioji programėlė ŠiauliaiBUS: parengtas informacinis vaizdo klipas - instrukcija, kaip naudotis programėle, parengtas ir transliuojamas autobusuose animuotas klipas, skatinantis naudotis programėle, parengtas informacinis stendas, informacine medžiaga apklijuotas miesto autobusas, programėles reklama atspausdinta ir patalpinta miesto autobusų stotelių stoginėse.</t>
  </si>
  <si>
    <t>04.02.01.14</t>
  </si>
  <si>
    <t>Įgyvendinti projektą „Darnaus judumo priemonių diegimas Šiaulių mieste“</t>
  </si>
  <si>
    <t>Įgyvendintos darnaus judumo priemonės</t>
  </si>
  <si>
    <t>Darbai baigti Gardino 757 m, Gegužių 573 m, Krymo g. 514 m, Dariaus ir Girėno g. 740 m., Talkšos g. 176 m., Dainų g. 2019 m ir Ežero g. 2122 m šaligatviuose.</t>
  </si>
  <si>
    <t>04.02.01.15</t>
  </si>
  <si>
    <t>Įgyvendinti projektą „Pakruojo gatvės rekonstrukcija“</t>
  </si>
  <si>
    <t>Pilnai baigti rangos darbai, baigtos statybos užbaigimo procedūros.</t>
  </si>
  <si>
    <t>04.02.01.16</t>
  </si>
  <si>
    <t>Įgyvendinti projektą „Tilžės g. dviračių tako rekonstrukcija"</t>
  </si>
  <si>
    <t>Baigta tvarkyti projekto dokumentacija ir finansiniai srautai, patvirtintas galutinis mokėjimo prašymas.</t>
  </si>
  <si>
    <t>04.02.01.18</t>
  </si>
  <si>
    <t>Įgyvendinti Bačiūnų g. rekonstrukciją</t>
  </si>
  <si>
    <t>Rekonstruotos gatvės ilgis</t>
  </si>
  <si>
    <t>Vykdyti VI etapo rekonstrukcijos darbai: 1,424 km pėsčiųjų dviračių takas, 0,359 km pėsčiųjų takas. Vykdomi baigiamieji Bačiūnų g. IV-V-VI etapų rekonstrukcijos darbai.</t>
  </si>
  <si>
    <t>Įvykdyta darbų</t>
  </si>
  <si>
    <t>Rekonstruotas dviračių pėsčiųjų tako ilgis</t>
  </si>
  <si>
    <t>04.02.01.19</t>
  </si>
  <si>
    <t>Vykdyti keleivių vežimą vietinio (miesto) reguliaraus susisiekimo autobusų maršrutais</t>
  </si>
  <si>
    <t>Apmokėta už miesto keleivių vežimo vietiniais maršrutais (Nr. 2,8,14,20,24) paslaugas pagal kilometražą</t>
  </si>
  <si>
    <t>600 000,00</t>
  </si>
  <si>
    <t>UAB Busturui apmokama už nuvažiuotus kilometrus teikiant miesto keleivių vežimo 2,8,14,20,24  - vietiniais maršrutais viešąsias paslaugas. Apmokama už faktinę 5 maršrutų ridą.</t>
  </si>
  <si>
    <t>04.02.02.</t>
  </si>
  <si>
    <t>Vykdyti Savivaldybės infrastruktūros plėtrą</t>
  </si>
  <si>
    <t>04.02.02.01.</t>
  </si>
  <si>
    <t>Suprojektuoti, nutiesti, išasfaltuoti  ar rekonstruoti žvyruotas gatves individualių namų kvartaluose</t>
  </si>
  <si>
    <t>Gatvių asfaltavimas ir įrengimas</t>
  </si>
  <si>
    <t>2021 metais atliekami buvo rangos darbai: Beržų g. 0,184 km už 82,4 tūkst. eur; Žagarės g. 0,185 km už 76,3 tūkst. eur; Miško g.už 7,1 tūkst. eur; Artojų g. už 7,5 tūkst. eur, pradėti Žiemgalių g. už 131,4 tūkst.eur; Šakių ir Prienų g. rangos darbai iš KPP lėšų. Plungės g.0,199 km; Ganyklų g. 0,469 km, Ievų g. 0,436 km; pradėtos Nidos g. ir Vingių g. - įrengti pagrindai.</t>
  </si>
  <si>
    <t>04.02.03.</t>
  </si>
  <si>
    <t>Vykdyti savivaldybės infrastruktūros plėtrą</t>
  </si>
  <si>
    <t>04.02.03.01</t>
  </si>
  <si>
    <t>Įgyvendinti savivaldybės infrastruktūros plėtros rėmimo programą</t>
  </si>
  <si>
    <t>Sukurta infrastruktūros objektų</t>
  </si>
  <si>
    <t>05.</t>
  </si>
  <si>
    <t>Miesto ekonominės plėtros programa</t>
  </si>
  <si>
    <t>05.01.</t>
  </si>
  <si>
    <t>Skatinti miesto ekonominę plėtrą sudarant palankias sąlygas verslo vystymuisi</t>
  </si>
  <si>
    <t>Užimtų gyventojų skaičiaus augimas</t>
  </si>
  <si>
    <t>Įsteigtų įmonių</t>
  </si>
  <si>
    <t>05.01.02.</t>
  </si>
  <si>
    <t>Skatinti ir ugdyti verslumą</t>
  </si>
  <si>
    <t>05.01.02.01</t>
  </si>
  <si>
    <t>Skatinti smulkiojo verslo subjektus</t>
  </si>
  <si>
    <t>Įgyvendintų skatinimo priemonių</t>
  </si>
  <si>
    <t>Informacija apie paramos priemones patalpinta savivaldybės internetiniame puslapyje, kovo mėn. nuotoliniu būdu  buvo surengtas savivaldybės paramos priemonių  pristatymas, kuriame dalyvavo  ~100 dalyvių, informacija apie paramos priemones siunčiama el. paštu naujai įsisteigusioms įmonėms.  Per tris šių metų ketvirčius patvirtinta 21 gauta paraiška, iš jų 8 paraiškos mokymo išlaidoms kompensuoti, 6 paraiškos įmonės steigimo išlaidoms kompensuoti ir 7 paraiškos verslo projektų konkursui.  Pasirašyta 17 sutarčių.
2021 metais gautos 37 paraiškos, iš jų: 1 - išlaidoms, skirtoms infrastruktūros pritaikymo neįgaliesiems, kompensuoti, 10 - mokymo išlaidoms, 9 - įmonės steigimo išlaidoms kompensuoti, 7 - verslo projektų konkursui, 11 - įrankių ir įrangos įsigijimo konkursui. Pasirašytos 29 sutartys. 2021 m. 3 kartus nuotoliniu būdu  buvo surengtas savivaldybės paramos priemonių  pristatymas. Pristatymuose dalyvavo ~200 dalyvių. Informacija apie paramos priemones siunčiama el. paštu naujai įsisteigusioms įmonėms.</t>
  </si>
  <si>
    <t>05.01.02.02</t>
  </si>
  <si>
    <t>Įgyvendinti verslo subjektų mokymo programas</t>
  </si>
  <si>
    <t>Surengtų mokymų</t>
  </si>
  <si>
    <t>2021 m. surengti 5 mokymai.</t>
  </si>
  <si>
    <t>Verslo sklaidos renginių</t>
  </si>
  <si>
    <t>2021 m. surengti 3 informaciniai renginiai ir 2 pažintinės išvykos. 1 renginys neįvyko, nes buvo didesnis poreikis konsultacijoms.</t>
  </si>
  <si>
    <t>Suteiktos konsultacijos</t>
  </si>
  <si>
    <t>val.</t>
  </si>
  <si>
    <t>280,00</t>
  </si>
  <si>
    <t>350,00</t>
  </si>
  <si>
    <t>2021 m. konsultuota 60 asmenų, suteikta 350 val. konsultacijų. Konsultacijų dėka įsteigta 10 įmonių.
Iš viso programos renginiuose, mokymuose dalyvavo 136 asmenys.</t>
  </si>
  <si>
    <t>05.01.04.</t>
  </si>
  <si>
    <t>Skatinti verslumą ir didinti darbo jėgos konkurencingumą</t>
  </si>
  <si>
    <t>05.01.04.01</t>
  </si>
  <si>
    <t>Įgyvendinti jaunimo verslumo skatinimo programą</t>
  </si>
  <si>
    <t>Konsultuotų asmenų</t>
  </si>
  <si>
    <t>žm.</t>
  </si>
  <si>
    <t>2021 m. konsultuota 20 asmenų, suteikta 150 val. konsultacijų. Konsultacijų dėka įsteigtos 2 įmonės.
Konsultacijos vyko pagal faktinį poreikį, likusios lėšos panaudotos renginių vykdymui (suorganizuota 4 renginiais daugiau nei buvo planuota).</t>
  </si>
  <si>
    <t>Verslumo mokymo ir verslo informacinės sklaidos renginių</t>
  </si>
  <si>
    <t>15,00</t>
  </si>
  <si>
    <t>2021 m. surengta: 10 mokymų, 1 - jaunimo verslo konkursas, susidedantis iš 5 sesijų, 8 - informaciniai renginiai, kurių vienas renginys - aplinkosauginis situacinis spektaklis, 2 pažintinės išvykos. 
Programos renginiuose, mokymuose dalyvavo 422 asmenys.</t>
  </si>
  <si>
    <t>05.03.</t>
  </si>
  <si>
    <t>Skatinti miesto ekonominę plėtrą pritraukiant Europos Sąjungos fondų ir valstybės lėšas</t>
  </si>
  <si>
    <t>Parengtų projektų</t>
  </si>
  <si>
    <t>38,00</t>
  </si>
  <si>
    <t>Tiesioginių užsienio investicijų (TUI) augimas</t>
  </si>
  <si>
    <t>Materialinių investicijų augimas</t>
  </si>
  <si>
    <t>05.03.01.</t>
  </si>
  <si>
    <t xml:space="preserve"> Užtikrinti projektų dokumentacijos rengimą</t>
  </si>
  <si>
    <t>05.03.01.01</t>
  </si>
  <si>
    <t>Parengti (atnaujinti) investicijų projektus</t>
  </si>
  <si>
    <t>Parengtų ir atnaujintų investicijų projektų</t>
  </si>
  <si>
    <t>1. Parengta 19 investicijų planų daugiabučių renovacijai; 2. Parengta kaštų naudos analizė Šiaulių arenos koncesijos konkursui; 3.  Parengti 6 investicijų projektai ir energijos vartojimo pastatuose auditų ataskaitos Šiaulių centro pradinei mokyklos, Rėkyvos kultūros namų, Kultūros centro "Laiptų galerija", Socialinių paslaugų centro (Stoties g. 9C), lopšelio-darželio "Ežerėlis" ir Dainų PSPC pastatų modernizavimui.</t>
  </si>
  <si>
    <t>05.03.02.</t>
  </si>
  <si>
    <t>Įgyvendinti investicijų projektus</t>
  </si>
  <si>
    <t>05.03.02.02</t>
  </si>
  <si>
    <t>Vystyti Šiaulių pramoninio  (ŠPP) ir Šiaulių laisvosios ekonominės zonos (Šiaulių LEZ) infrastruktūrą</t>
  </si>
  <si>
    <t>Iškeltų inžinerinių tinklų</t>
  </si>
  <si>
    <t>IV ketvirtį baigti vandentiekio pertvarkymo P. Motiekaičio g. 18 ir P. Motiekaičio g. 16, Šiauliai, projekto parengimo darbai, pradėti rangos darbai. Taip pat baigti inžinerinių tinklų iškėlimo Radviliškio g. 49, Šiauliai, projektavimo darbai, pradėti rangos darbai.  Panaudota 94,0 tūkst. Eur iš  planuotų 128,7 tūkst. Eur.</t>
  </si>
  <si>
    <t>LEZ teritorijoje įrengti šaligatviai</t>
  </si>
  <si>
    <t>0,90</t>
  </si>
  <si>
    <t>Šaligatvių įrengimo I ir II etapo rangos darbai užbaigti pilna apimtimi. Atliktos ir užbaigimo procedūros. 2021 m. pradėti vykdyti  III etapo šaligatvio ir  pėsčiųjų infrastruktūros įrengimo darbai dešinėje Aviacijos gatvės pusėje.</t>
  </si>
  <si>
    <t>Išlygintas sklypo reljefas</t>
  </si>
  <si>
    <t>Dėl sklypų Aviacijos g. 6, 8, 10, 12 lyginimo 2021-10-20 sudaryta rangos darbų sutartis. Dėl sklypų Aviacijos g. 44, 46, 48, 50, 52 ir 54 lyginimo gautas UAB "Šiaulių laisvoji ekonominė zona" raštas, kad poreikio sklypus lyginti projekto lėšomis nebėra, inicijuotas projekto finansavimo sutarties pakeitimas atsisakant šios veiklos.</t>
  </si>
  <si>
    <t>Įrengta geležinkelio kelių</t>
  </si>
  <si>
    <t>2,20</t>
  </si>
  <si>
    <t>Įrengta geležinkelio atšaka per Šiaulių pramoninio parko teritoriją.</t>
  </si>
  <si>
    <t>Sklypų, kuriuose sutvarkyti želdiniai</t>
  </si>
  <si>
    <t>13,93 tūkst. Eur panaudoti želdinių sutvarkymui Šiaulių pramoninio parko sklype adresu P. Motiekaičio g. 2.</t>
  </si>
  <si>
    <t>Viršutinio dangos sluoksnio įrengimas važiuojamoje Aviacijos g. dalyje</t>
  </si>
  <si>
    <t>Aviacijos gatvėje įrengtas viršutinis asfalto sluoksnis.</t>
  </si>
  <si>
    <t>Dviračio tako įrengimas tarp pramonės parko ir LEZ teritorijų</t>
  </si>
  <si>
    <t>Įrengtas dviračių takas tarp Šiaulių pramonės parko ir Šiaulių laisvosios ekonominės zonos teritorijų.</t>
  </si>
  <si>
    <t>Sudaryta techninio projekto koregavimo sutartis, vykdomas techninio projekto koregavimas.</t>
  </si>
  <si>
    <t>05.03.02.11</t>
  </si>
  <si>
    <t>Vystyti Šiaulių Oro uosto veiklą</t>
  </si>
  <si>
    <t>Įvykdyti specialieji aviacijos saugumo užtikrinimo įsipareigojimai</t>
  </si>
  <si>
    <t>Lėšos panaudotos aviacijos saugumo įsipareigojimų funkcijos užtikrinimui. Gautomis lėšomis buvo mokamas darbo užmokestis, darbuotojų kursų, mokymų išlaidos, transporto išlaikymo išlaidos, komunalinės paslaugos.</t>
  </si>
  <si>
    <t>05.03.02.12</t>
  </si>
  <si>
    <t>Įrengti ekonominės veiklos centro infrastruktūrą</t>
  </si>
  <si>
    <t>Atlikti lietaus nuotekų tinklų rekonstravimo darbai</t>
  </si>
  <si>
    <t>Baigti visi priemonėje numatyti fiziniai darbai, 2021-06-07 pasirašyta darbų perėmimo pažyma. Vykdytos tokios statybos užbaigimo procedūros:
1. 2021-09-15 gautas Statybos užbaigimo aktas; 
2. 2021-11-12 gautas VšĮ Transporto kompetencijų agentūros išduotas pažymėjimas, leidžiantis eksploatuoti peroną "B" ir riedėjimo taką "B"; 
3. Atlikta statinių kadastro bylų teisinė registracija nekilnojamojo turto registre.</t>
  </si>
  <si>
    <t>Įgyvendintas perono dangos įrengimo I etapas</t>
  </si>
  <si>
    <t>Įgyvendintas perono dangos įrengimo II etapas</t>
  </si>
  <si>
    <t>Atlikti perono apšvietimo įrengimo darbai</t>
  </si>
  <si>
    <t>Iki sklypo ribos atlikti susisiekimo ir inžinerinių komunikacijų įrengimo darbai</t>
  </si>
  <si>
    <t>05.03.03.</t>
  </si>
  <si>
    <t xml:space="preserve">Skatinti investicijų pritraukimą </t>
  </si>
  <si>
    <t>05.03.03.02</t>
  </si>
  <si>
    <t>Viešinti investicinę aplinką</t>
  </si>
  <si>
    <t>Suorganizuota renginių</t>
  </si>
  <si>
    <t>Dalyvauta parodose</t>
  </si>
  <si>
    <t>05.03.03.05</t>
  </si>
  <si>
    <t>Pritraukti aukštos kvalifikacijos specialistus į Šiaulių miestą</t>
  </si>
  <si>
    <t>Atvykusių dirbti aukštos kvalifikacijos specialistų skaičius, kurie gavo vienkartines išmokas</t>
  </si>
  <si>
    <t>Informacija apie galimybę pasinaudoti paramos priemone skelbiama savivaldybės internetiniame puslapyje , nuolat atnaujinama naujienų skiltyje, dalinamasi per socialinius tinklus, priemonė pristatyta ŠPPAR nariams - įmonių vadovams. Rugsėjo mėn. atnaujintas reikalingų Šiaulių m. aukštos kvalifikacijos profesijų sąrašas. Gauta viena paraiška.
2021 m. gruodžio mėn. Taryboje patvirtinta nauja Finansinės paramos skyrimo aukštos profesinės kvalifikacijos specialistams tvarkos aprašo redakcija, praplėstos paramos panaudojimo galimybės.</t>
  </si>
  <si>
    <t>06.</t>
  </si>
  <si>
    <t>Turto valdymo ir privatizavimo programa</t>
  </si>
  <si>
    <t>06.01.</t>
  </si>
  <si>
    <t>Užtikrinti Savivaldybei nuosavybės teise priklausančio turto efektyvų panaudojimą</t>
  </si>
  <si>
    <t>Teisiškai sutvarkytų ir  įregistruotų  nekilnojamojo turto sk.  nuo viso turimo turto, proc.</t>
  </si>
  <si>
    <t>95,00</t>
  </si>
  <si>
    <t>99,00</t>
  </si>
  <si>
    <t>06.01.01.</t>
  </si>
  <si>
    <t>Užtikrinti Savivaldybei nuosavybės teise priklausančio turto įregistravimą viešuosiuose registruose</t>
  </si>
  <si>
    <t>06.01.01.01</t>
  </si>
  <si>
    <t>Apmokėti pastatų, patalpų ir inžinerinių statinių vertinimo, kadastrinių matavimų atlikimo, teisines registracijos išlaidas</t>
  </si>
  <si>
    <t>Nekilnojamojo turto registre teisiškai įregistruotas turtas</t>
  </si>
  <si>
    <t>06.01.01.03</t>
  </si>
  <si>
    <t>Padengti Privatizavimo programos vykdymo išlaidas</t>
  </si>
  <si>
    <t>Padengtos išlaidos</t>
  </si>
  <si>
    <t>06.01.01.04</t>
  </si>
  <si>
    <t>Drausti sukurtą materialųjį turtą</t>
  </si>
  <si>
    <t>Apdraustų objektų</t>
  </si>
  <si>
    <t>06.01.02.</t>
  </si>
  <si>
    <t>Tinkamai eksploatuoti, renovuoti, remontuoti ir  saugoti Savivaldybei nuosavybės teise priklausantį turtą</t>
  </si>
  <si>
    <t>06.01.02.03</t>
  </si>
  <si>
    <t>Apmokėti Savivaldybei nuosavybės teise priklausančių pastatų, patalpų ir inžinerinių statinių  draudimo, apsaugos, remonto, komunalines ir kitas išlaidas</t>
  </si>
  <si>
    <t>Apmokėtos eksploatavimo išlaidos</t>
  </si>
  <si>
    <t>Apmokama laisvų patalpų ir pastatų, statinių remonto, šildymo, elektros, vandens,  apsaugos, administravimo išlaidos.</t>
  </si>
  <si>
    <t>06.01.02.10</t>
  </si>
  <si>
    <t>Apmokėti paviršinių (lietaus) nuotekų ir miesto apšvietimo tinklų kadastrinių matavimų, teisinės registracijos ir turto vertinimo paslaugas</t>
  </si>
  <si>
    <t>Apmokėtos turto vertinimo išlaidos</t>
  </si>
  <si>
    <t>06.01.02.13</t>
  </si>
  <si>
    <t>Įgyvendinti projektą „Kraštovaizdžio būklės gerinimas Šiaulių mieste“</t>
  </si>
  <si>
    <t>Nugriautų pastatų</t>
  </si>
  <si>
    <t>Atliktas galutinis mokėjimas už darbus. 2021 m. buvo baigti gerbūvio tvarkymo darbai.</t>
  </si>
  <si>
    <t>06.01.03.</t>
  </si>
  <si>
    <t>Sudaryti sąlygas įsigyti būstą pažeidžiamiausioms gyventojų grupėms</t>
  </si>
  <si>
    <t>06.01.03.04</t>
  </si>
  <si>
    <t>Kompensuoti daugiabučių namų savininkų bendrijų steigimo išlaidas</t>
  </si>
  <si>
    <t>Padengtos   steigimo išlaidas</t>
  </si>
  <si>
    <t>Apmokėtos daugiabučių gyvenamųjų namo bendrijų steigimo išlaidos.</t>
  </si>
  <si>
    <t>07.</t>
  </si>
  <si>
    <t>Sporto plėtros programa</t>
  </si>
  <si>
    <t>07.01.</t>
  </si>
  <si>
    <t>Sudaryti sąlygas ugdyti sveiką ir fiziškai aktyvią miesto bendruomenę bei plėtoti aukšto meistriškumo sportininkų rengimo sistemą</t>
  </si>
  <si>
    <t>Organizuoti nacionalinio ir tarptautinio lygmens  sporto renginius ir sudaryti galimybę sportininkams deramai pasirengti bei dalyvauti sporto varžybose</t>
  </si>
  <si>
    <t>Skatinti perspektyvius ir didelio meistriškumo sportininkus</t>
  </si>
  <si>
    <t>Užtikrinti optimalų sporto įstaigų prieinamumą ir paslaugų įvairovę</t>
  </si>
  <si>
    <t>4 000,00</t>
  </si>
  <si>
    <t>4 050,00</t>
  </si>
  <si>
    <t>4 100,00</t>
  </si>
  <si>
    <t>07.01.01.</t>
  </si>
  <si>
    <t>Plėtoti aukšto meistriškumo sportininkų rengimo sistemą</t>
  </si>
  <si>
    <t>07.01.01.02</t>
  </si>
  <si>
    <t>Vykdyti miesto, apskrities, šalies ir tarptautinius sporto renginius bei pasirengti ir dalyvauti šalies ir tarptautinėms varžyboms (Baltijos, Europos ir pasaulio čempionato varžyboms, kompleksiniams renginiams ir kt.)</t>
  </si>
  <si>
    <t>Surengtų sporto renginių dalyvių</t>
  </si>
  <si>
    <t>43 000,00</t>
  </si>
  <si>
    <t>Sportininkų, dalyvaujančių šalies varžybose</t>
  </si>
  <si>
    <t>2 500,00</t>
  </si>
  <si>
    <t>2 550,00</t>
  </si>
  <si>
    <t>Šalies varžybose laimėta 1–3 vietų</t>
  </si>
  <si>
    <t>720,00</t>
  </si>
  <si>
    <t>725,00</t>
  </si>
  <si>
    <t>Sportininkų, dalyvaujančių tarptautinėse varžybose</t>
  </si>
  <si>
    <t>145,00</t>
  </si>
  <si>
    <t>Europos čempionate iškovotų 1–6 vietų ir pasaulio čempionate, taurės varžybose iškovotų 1–10 vietų</t>
  </si>
  <si>
    <t>62,00</t>
  </si>
  <si>
    <t>Surengtų sporto renginių</t>
  </si>
  <si>
    <t>1 500,00</t>
  </si>
  <si>
    <t>1 550,00</t>
  </si>
  <si>
    <t>07.01.01.06</t>
  </si>
  <si>
    <t>Pasirengti ir dalyvauti Lietuvos čempionato ir sporto šakų federacijų taurės, Baltijos lygos ir taurės laimėtojų, Europos taurės ir kitose oficialiose varžybose (žaidimų komandų jaunimo ir suaugusiųjų amžiaus grupė)</t>
  </si>
  <si>
    <t>Komandų, dalyvaujančių šalies varžybose</t>
  </si>
  <si>
    <t>Lietuvos čempionato varžybose laimėta 1–3 vietų</t>
  </si>
  <si>
    <t>Komandų, dalyvaujančių tarptautinėse varžybose</t>
  </si>
  <si>
    <t>Tarptautinėse varžybose laimėta 1–3 vietų</t>
  </si>
  <si>
    <t>07.01.01.08</t>
  </si>
  <si>
    <t>Įgyvendinti Šiaulių miesto reprezentacinių renginių programą</t>
  </si>
  <si>
    <t>Surengti miestą reprezentuojantys sporto renginiai</t>
  </si>
  <si>
    <t>3 500,00</t>
  </si>
  <si>
    <t>Surengtų sporto renginių žiūrovų</t>
  </si>
  <si>
    <t>98 000,00</t>
  </si>
  <si>
    <t>07.01.04.</t>
  </si>
  <si>
    <t>07.01.04.01</t>
  </si>
  <si>
    <t>Skirti metines premijas (stipendijas) perspektyviausiems sportininkams.</t>
  </si>
  <si>
    <t>Premijų (stipendijų), skirtų sportininkams</t>
  </si>
  <si>
    <t>07.01.04.03</t>
  </si>
  <si>
    <t>Skatinti sportininkus ir trenerius laimėjusius aukštas vietas tarptautinės varžybose.</t>
  </si>
  <si>
    <t>Paskatintų sportininkų dalis nuo bendro meistriškumo ugdymo, meistriškumo tobulinimo ir aukšto meistriškumo grupes lankančių skaičiaus</t>
  </si>
  <si>
    <t>Paskatintų trenerių dalis nuo bendro trenerių skaičiaus</t>
  </si>
  <si>
    <t>10,50</t>
  </si>
  <si>
    <t>07.01.05.</t>
  </si>
  <si>
    <t>Užtikrinti optimalų  sporto įstaigų prieinamumą ir paslaugų įvairovę</t>
  </si>
  <si>
    <t>07.01.05.01</t>
  </si>
  <si>
    <t>Plėtoti sportininkų rengimo centrų veiklą</t>
  </si>
  <si>
    <t>Rengiamų sportininkų sporto įstaigose dalis nuo bendro bendrojo ugdymo mokyklose besimokančių skaičiaus</t>
  </si>
  <si>
    <t>Įgyvendintos futbolo ir krepšinio plėtros programos ir rengiamų sportininkų pagal šias programas dalis nuo bendro bendrojo ugdymo mokyklose besimokančių mokinių skaičiaus</t>
  </si>
  <si>
    <t>9,50</t>
  </si>
  <si>
    <t>Komandų dalyvaujančių LFF II, I ir A lygos varžybose</t>
  </si>
  <si>
    <t>Teikiančių paslaugas sporto įstaigų</t>
  </si>
  <si>
    <t>Komandų dalyvaujančių regionų lygos varžybose</t>
  </si>
  <si>
    <t>Olimpinės ir paralimpinės rinktinės kandidatų bei perspektyvinės pamainos sportininkų</t>
  </si>
  <si>
    <t>44,00</t>
  </si>
  <si>
    <t>07.02.</t>
  </si>
  <si>
    <t>Atnaujinti ir plėsti sporto objektų infrastruktūrą mieste ir sutvarkyti viešąsias erdves, sudarant sąlygas plėtoti sportą ir rekreaciją</t>
  </si>
  <si>
    <t>Statyti naujas sporto bazes ir statinius</t>
  </si>
  <si>
    <t>Renovuoti ir remontuoti pagal prioritetus atrinktas sporto bazes</t>
  </si>
  <si>
    <t>14,00</t>
  </si>
  <si>
    <t>07.02.01.</t>
  </si>
  <si>
    <t>07.02.01.01</t>
  </si>
  <si>
    <t>Pastatyti sporto kompleksą (futbolo ir regbio maniežą) Dainų parke</t>
  </si>
  <si>
    <t>Parengtas techninis projektas</t>
  </si>
  <si>
    <t>Atlikta darbų</t>
  </si>
  <si>
    <t>07.02.01.02</t>
  </si>
  <si>
    <t>Pastatyti irklavimo sporto bazę (Žvyro g. 34)</t>
  </si>
  <si>
    <t>Atlikti II etapo statybos darbai (pastatytas pastatas), atlikta darbų</t>
  </si>
  <si>
    <t>07.02.01.04</t>
  </si>
  <si>
    <t>Įrengti futbolo aikštę (Kviečių g. 9)</t>
  </si>
  <si>
    <t>07.02.01.06</t>
  </si>
  <si>
    <t>Suprojektuoti ir pastatyti buriavimo elingą prie Rėkyvos ežero</t>
  </si>
  <si>
    <t>07.02.01.07</t>
  </si>
  <si>
    <t>Įrengti universalios dirbtinės dangos sporto aikštelę</t>
  </si>
  <si>
    <t>Atlikti aikštės įrengimo darbai (įrengtas pagrindas dirbtinės dangos aikštei pakloti, paklota dirbtinės dangos aikštė)</t>
  </si>
  <si>
    <t>07.02.02.</t>
  </si>
  <si>
    <t>07.02.02.03</t>
  </si>
  <si>
    <t>Modernizuoti plaukimo centro „Delfinas" (Ežero 11A) pastatą.</t>
  </si>
  <si>
    <t>2021 m. pakeista plaukimo baseino technologinė įranga, vidaus vandentiekis, nuotekų šalinimas, elektrotechnika ir įrengta procesų valdymo ir automatizavimo sistema.</t>
  </si>
  <si>
    <t>07.02.02.07</t>
  </si>
  <si>
    <t>Renovuoti lengvosios atletikos takus ir sektorius  miesto stadione (Daukanto g. 23)</t>
  </si>
  <si>
    <t>Pakeista Šiaulių miesto stadiono bėgimo takų danga, sutvarkyti lietaus surinkimo latakai, aptverti stadiono takai tvorele, atlikta darbų proc.</t>
  </si>
  <si>
    <t>2021 m. pakeista Šiaulių miesto stadiono bėgimo takų danga, sutvarkyti lietaus surinkimo latakai, aptverti stadiono takai tvorele.</t>
  </si>
  <si>
    <t>07.02.02.13</t>
  </si>
  <si>
    <t>Suremontuoti Šiaulių m. stadiono administracinį pastatą ir tribūnas (S. Daukanto g. 23)</t>
  </si>
  <si>
    <t>Sumontuoti naują rėmo konstrukciją su LED švieslente</t>
  </si>
  <si>
    <t>2021 m. sumontuota nauja rėmo konstrukcija su LED švieslente.</t>
  </si>
  <si>
    <t>07.02.03.</t>
  </si>
  <si>
    <t>Modernizuoti esamas sporto bazes</t>
  </si>
  <si>
    <t>07.02.03.06</t>
  </si>
  <si>
    <t>Modernizuoti plaukimo centro „Delfinas" pastatą (Dainų g. 33A)</t>
  </si>
  <si>
    <t>07.03.</t>
  </si>
  <si>
    <t>Formuoti bendruomenės narių sveiką gyvenseną ir jos kultūrą</t>
  </si>
  <si>
    <t>Sudaryti sąlygas formuoti kūno kultūros įgūdžius ir teigiamą požiūrį į jos reikšmę sveikatai, fiziniam pajėgumui ir užimtumui</t>
  </si>
  <si>
    <t>18,00</t>
  </si>
  <si>
    <t>Siekti rezultatyvios kūno kultūros ir sporto plėtros didinant socialinę sporto funkciją, sudarant palankią aplinką gyventojų sveikatai stiprinti ir darbingumui gerinti</t>
  </si>
  <si>
    <t>07.03.01.</t>
  </si>
  <si>
    <t>07.03.01.02</t>
  </si>
  <si>
    <t>Mokyti vaikus plaukti ir saugiai elgtis vandenyje ir prie vandens</t>
  </si>
  <si>
    <t>Išmokytų plaukti vaikų dalis nuo bendro 1–4 klasių mokinių skaičiaus Šiaulių m. mokyklose</t>
  </si>
  <si>
    <t>07.03.02.</t>
  </si>
  <si>
    <t>07.03.02.01</t>
  </si>
  <si>
    <t>Skatinti fizinio aktyvumo veiklas</t>
  </si>
  <si>
    <t>Sportinėje veikloje dalyvaujančių dalis nuo bendro Šiaulių m.  gyventojų skaičiaus proc.</t>
  </si>
  <si>
    <t>08.</t>
  </si>
  <si>
    <t>Švietimo prieinamumo ir kokybės užtikrinimo programa</t>
  </si>
  <si>
    <t>08.01.</t>
  </si>
  <si>
    <t>Plėtoti inovatyvią švietimo sistemą, ugdančią aktyvią ir kūrybingą asmenybę</t>
  </si>
  <si>
    <t>Sudarytos sąlygos kokybiškam ugdymo procesui</t>
  </si>
  <si>
    <t>32,00</t>
  </si>
  <si>
    <t>Užtikrinta švietimo pagalba kiekvienam mokiniui</t>
  </si>
  <si>
    <t>08.01.01.</t>
  </si>
  <si>
    <t>Gerinti švietimo prieinamumą ir pristatyti švietimo veiklą</t>
  </si>
  <si>
    <t>08.01.01.01</t>
  </si>
  <si>
    <t>Atstovauti miestui, pristatyti švietimo veiklą, organizuoti renginius</t>
  </si>
  <si>
    <t>Tradicinių mokytojų ir mokinių renginių</t>
  </si>
  <si>
    <t>2021 m. vyko Šiaulių miesto bendruomenės švietimo renginiai (Šiaulių miesto bendruomenės švietimo forumas, ,,Metų mokytojo“ šventė ir kt.)</t>
  </si>
  <si>
    <t>Olimpiadų dalyvių</t>
  </si>
  <si>
    <t>1 300,00</t>
  </si>
  <si>
    <t>Įteikta premijų ,,Metų mokytojas“</t>
  </si>
  <si>
    <t>,,Metų mokytojo“ premijos įteiktos 10 miesto pedagogų.</t>
  </si>
  <si>
    <t>Švietimo bendruomenės organizuotų reprezentacinių miesto renginių</t>
  </si>
  <si>
    <t>Įvyko reprezentaciniai renginiai: Šiaulių vyskupijos šeimų šventė, Šiaulių kultūros centro tarptautinis šokio festivalis-konkursas ,,Aušrinė žvaigždė“, Šiaulių prekybos, pramonės ir amatų rūmų renginys ,,ŠiauliaiSmart“, Šiaulių valstybinės kolegijos vaikų, jaunimo, suaugusiųjų kūrybiško, aktyvaus laisvalaikio užimtumo idėjų paroda ,,Tavo PIN kodas“.</t>
  </si>
  <si>
    <t>Vieną ir daugiau 100 balų įvertinimą gavusių mokinių</t>
  </si>
  <si>
    <t>Šiaulių miesto savivaldybės premijos ,,Šiaulių miesto abiturientas“ įteiktos 110 abiturientų.</t>
  </si>
  <si>
    <t>Šiauliečio pirmoko krepšelį gavusių pirmokų</t>
  </si>
  <si>
    <t>1 200,00</t>
  </si>
  <si>
    <t>1 250,00</t>
  </si>
  <si>
    <t>Pirmoko krepšelį gavo 1171 pirmokų, 2021 m. rugsėjo 1 d. pradėjusių lankyti Šiaulių miesto bendrojo ugdymo mokyklas.</t>
  </si>
  <si>
    <t>Švietimo lyderystės ir pagalbos programų dalyvių</t>
  </si>
  <si>
    <t>200,00</t>
  </si>
  <si>
    <t>08.01.01.02</t>
  </si>
  <si>
    <t>Sukurti skaitmenines mokymosi aplinkas bendrojo ugdymo mokyklose</t>
  </si>
  <si>
    <t>Sukurtos skaitmeninės mokymosi aplinkos (2020-2023 m.), įvykdyti mokymai bei konsultacijos mokytojams ir mokyklos administracijai (2020-2021 m.), mokyklų skaičius</t>
  </si>
  <si>
    <t>Sudarytos sąlygos mokiniams ir mokytojams naudotis elektroninėje erdvėje esančiu mokymo (-si) turiniu, kuriame patalpinti vadovėliai (kita skaitmeninė mokomoji medžiaga), įvairių lygių ir sudėtingumo skaitmeninės užduotys, pritaikytos skirtingų gebėjimų, skirtingo amžiaus mokiniams.</t>
  </si>
  <si>
    <t>Įsteigtos hibridinės klasės</t>
  </si>
  <si>
    <t>Keturiolikoje progimnazijų įsteigtos hibridinės klasės.</t>
  </si>
  <si>
    <t>08.01.02.</t>
  </si>
  <si>
    <t>Tobulinti švietimo valdymą ir tenkinti gyventojų švietimo poreikius.</t>
  </si>
  <si>
    <t>08.01.02.02</t>
  </si>
  <si>
    <t>Užtikrinti neformaliojo švietimo elektroninės apskaitos sistemos funkcionavimą ir internetinių mokymo priemonių panaudojimą</t>
  </si>
  <si>
    <t>Įstaigų objektai, kuriuose įdiegta ir atnaujinta, veikianti apskaitos sistema</t>
  </si>
  <si>
    <t>Visose Šiaulių miesto mokyklose yra įdiegtas elektroninis mokinio pažymėjimas. Neformaliojo švietimo įstaigos ir laisvieji mokytojai naudojasi Savivaldybėje įdiegta elektronine neformaliojo vaikų švietimo programų lankomumo apskaitos sistema.</t>
  </si>
  <si>
    <t>Lietuvių autorių ir knygų lietuvių kalba mokyklinio amžiaus skaitytojams duomenų bazės prenumerata</t>
  </si>
  <si>
    <t>Veikia lietuvių autorių ir knygų lietuvių kalba mokyklinio amžiaus skaitytojams duomenų bazės prenumerata.</t>
  </si>
  <si>
    <t>Patobulinta ikimokyklinio ugdymo duomenų bazė</t>
  </si>
  <si>
    <t>Nevalstybinių švietimo įstaigų ir laisvųjų mokytojų įgyvendinamas neformaliojo vaikų švietimo programas lankančių mokinių</t>
  </si>
  <si>
    <t>33,00</t>
  </si>
  <si>
    <t>Neformaliojo švietimo įstaigos ir laisvieji mokytojai naudojasi Savivaldybėje įdiegta elektronine neformaliojo vaikų švietimo programų lankomumo apskaitos sistema.</t>
  </si>
  <si>
    <t>08.01.02.03</t>
  </si>
  <si>
    <t>Vykdyti suaugusiųjų neformaliojo švietimo programas</t>
  </si>
  <si>
    <t>Programos dalyvių skaičius</t>
  </si>
  <si>
    <t>2021 m. įgyvendintos 6 programos : TAU Turizmo ir kraštotyros ir Teisinių žinių fakultetų jungtinė programa , TAU Jungtinė praktinių žinių ir saviraiškos, Sveikatos, Žmogaus ir socialinės aplinkos fakultetų programa , TAU Kultūros ir meno, Dvasinio tobulėjimo ir Humanitarinio fakultetų jungtinė programa, VšĮ Žmogiškųjų išteklių stebėsenos ir plėtros biuras „CONNECT: Suaugusiųjų kompiuterinio raštingumo ir informacinių technologijų įgūdžių ugdymas, stiprinant integraciją į visuomenę ir darbo rinką.“ , VšĮ ,,American English School", ,,Komunikacija anglų kalba švietimo srityje".</t>
  </si>
  <si>
    <t>08.01.02.04</t>
  </si>
  <si>
    <t>Vykdyti Šiaulių miesto savivaldybės, jos teritorijoje veikiančių aukštųjų mokyklų, Šiaulių profesinio rengimo centro ir švietimo įstaigų bendradarbiavimo programas</t>
  </si>
  <si>
    <t>STEAM  ir STEAM JUNIOR programos grupių</t>
  </si>
  <si>
    <t>190,00</t>
  </si>
  <si>
    <t>2021 m. įgyvendintos visos STEAM ir STEAM JUNIOR  programos: STEAM: 60 grupių, 873 mokiniai, STEAM JUNIOR: 60 grupių, 1268 mokiniai. Programas parengė ir vykdė Vilniaus universiteto Šiaulių akademijos STEAM centras, Botanikos sodas, Šiaulių valstybinė kolegija, Šiaulių profesinio rengimo centras, Šiaulių Didždvario gimnazija, Šiaulių Dainų progimnazija, Šiaulių ,,Romuvos" progimnazija, Šiaulių techninės kūrybos centras, Šiaulių jaunųjų gamtininkų centras, Šiaulių jaunųjų turistų centras, VšĮ ,,Eduplius“.</t>
  </si>
  <si>
    <t>INOSTART programų</t>
  </si>
  <si>
    <t>Inžinerijos ir informatikos mokslų krypties studijų Šiaulių mieste parama, skatinamųjų stipendijų (+2 užsienio dėstytojų vizitai)</t>
  </si>
  <si>
    <t>2021 m. finansuotas 1 dėstytojo vizitas ir skirta 1 skatinamoji stipendija.</t>
  </si>
  <si>
    <t>Švietimo bendruomenės renginių ir mokinių eksperimentinių tyrimų ugdymo poreikiams sukurtų lauko edukacinių erdvių</t>
  </si>
  <si>
    <t>Finansuojama bendruomenės renginių ir mokinių eksperimentinių tyrimų ugdymo poreikiams sukurtų lauko edukacinių erdvių programa ,,Gamtos laboratorija Šiauliuose“.</t>
  </si>
  <si>
    <t>Viešųjų ryšių akcijos „Šiauliai – sėkmingos karjeros miestas“ priemonių</t>
  </si>
  <si>
    <t>Socialinių tinklų komunikacija, pažymėjimai STEAM ir STEAM JUNIOR programų dalyviams.</t>
  </si>
  <si>
    <t>Studijų parama, studentų</t>
  </si>
  <si>
    <t>STEAM renginių ir varžybų</t>
  </si>
  <si>
    <t>Ankstyvojo profesinio informavimo programos"OPA" pradinių klasių mokiniams įgyvendinimas</t>
  </si>
  <si>
    <t>Programą vykdė Profesinio rengimo centras. Programa įgyvendinta.</t>
  </si>
  <si>
    <t>Darbdavių nuomonės apie paruoštus mokinius ir studentus tyrimas</t>
  </si>
  <si>
    <t>Atliktas darbdavių nuomonės tyrimas, vykdytojas Šiaulių valstybinė kolegija.</t>
  </si>
  <si>
    <t>Sukurta ir palaikoma internetinė platforma ,,Karjera Šiauliuose“</t>
  </si>
  <si>
    <t>Didinamas informacijos prieinamumas apie karjeros galimybes Šiaulių miesto įmonėse. Parengtas platformos projektas, suburta komunikacijos grupė, projektas viešintas žiniasklaidoje, organizuoti profesijų pristatymai tėvams ir mokiniams. Bendradarbiauja savivaldybės, verslo, ugdymo, mokslo institucijos.</t>
  </si>
  <si>
    <t>Šiaulių miesto savivaldybės ir Šiaulių miesto teritorijoje veikiančių aukštųjų mokyklų bendradarbiavimo programų</t>
  </si>
  <si>
    <t>Įgyvendinant programas skatinamas Savivaldybės ir mieste veikiančių aukštųjų mokyklų bendradarbiavimas. 2021 m. įgyvendintos 4 programos: 2 - Šiaulių valstybinė kolegija, 2 - Vilniaus universiteto Šiaulių akademija.</t>
  </si>
  <si>
    <t>Technologijų pamokų organizavimas</t>
  </si>
  <si>
    <t>Šiaulių miesto bendrojo ugdymo mokyklų 5–12 klasių mokiniams organizuojamos technologijų pamokos profesinį mokymą teikiančioje institucijoje, ugdant mokinių technologines kompetencijas ir supažindinant su technologiniais procesais technologijų pamokų metu laboratorijose, mokomosiose dirbtuvėse ir specializuotuose kabinetuose. 2021 m. organizuoti 58 vizitai (praktiniai ir stebėjimo) BU mokyklų į Šiaulių profesinio rengimo centrą.</t>
  </si>
  <si>
    <t>08.02.</t>
  </si>
  <si>
    <t>Užtikrinti bendrųjų ir specialiųjų ugdymo programų įgyvendinimą, kokybiškos pagalbos mokiniams, jų tėvams ir mokytojams teikimą</t>
  </si>
  <si>
    <t>Bendrojo ugdymo mokyklų</t>
  </si>
  <si>
    <t>08.02.01.</t>
  </si>
  <si>
    <t>Įgyvendinti bendrąsias ir specialiąsias ugdymo programas, teikti pagalbą mokiniams, jų tėvams ir mokytojams</t>
  </si>
  <si>
    <t>08.02.01.01</t>
  </si>
  <si>
    <t>Finansuoti švietimo įstaigų veiklą (ML 98% + SB)</t>
  </si>
  <si>
    <t>Ugdymo užtikrinimas bendrojo ugdymo mokyklose.</t>
  </si>
  <si>
    <t>Miesto bendrojo ugdymo mokyklose mokinių</t>
  </si>
  <si>
    <t>13 500,00</t>
  </si>
  <si>
    <t>Švietimo centras</t>
  </si>
  <si>
    <t>1.03.</t>
  </si>
  <si>
    <t>Suformatuotų, atspausdintų ir išduotų naujų elektroninių mokinio pažymėjimų</t>
  </si>
  <si>
    <t>5 500,00</t>
  </si>
  <si>
    <t>5 000,00</t>
  </si>
  <si>
    <t>Pedagoginę psichologinę pagalbą teikianti tarnyba</t>
  </si>
  <si>
    <t>Įstaigų, kuriose įsteigti karjeros specialisto etatai</t>
  </si>
  <si>
    <t>Įstaigų, kuriose įrengtas išmanusis šildymas ir elektra</t>
  </si>
  <si>
    <t>Vidutiniškai vienam mokiniui tenkantis plotas</t>
  </si>
  <si>
    <t>12,40</t>
  </si>
  <si>
    <t>,,Kultūros krepšelis“ edukaciniams užsiėmimams Šiaulių regiono muziejuose ir kitose kultūros įstaigose, mokinių</t>
  </si>
  <si>
    <t>12 800,00</t>
  </si>
  <si>
    <t>Švietimo įstaigų būsimų vadovų mokymai</t>
  </si>
  <si>
    <t>Mokinių, lankančių IT, robotikos, inžinerijos neformaliojo ugdymo būrelius, dalis</t>
  </si>
  <si>
    <t>Pedagogų mokymai dirbti informacinėmis technologijomis, asmeninių ir profesinių gebėjimų kursai, dalyvių</t>
  </si>
  <si>
    <t>300,00</t>
  </si>
  <si>
    <t>08.02.01.02</t>
  </si>
  <si>
    <t>Mokymo reikmių tenkinimas      (ML 2% )</t>
  </si>
  <si>
    <t>Ikimokyklinio ir bendrojo ugdymo mokyklų, kuriose mažinami ugdymo finansavimo poreikių skirtumai</t>
  </si>
  <si>
    <t>Mokymo lėšų ugdymo finansavimo poreikių skirtumams sumažinti įsisavinimas.</t>
  </si>
  <si>
    <t>Mokyklų, įdiegusių socialinių kompetencijų ugdymo modelį</t>
  </si>
  <si>
    <t>08.02.01.03</t>
  </si>
  <si>
    <t>Organizuoti mokinių vežimą</t>
  </si>
  <si>
    <t>Mokinių, kuriems kompensuojamas važiavimas į mokyklą</t>
  </si>
  <si>
    <t>800,00</t>
  </si>
  <si>
    <t>700,00</t>
  </si>
  <si>
    <t>Kompensuojamos ne Šiaulių miesto savivaldybės teritorijoje gyvenančių mokinių išlaidos už važiavimą į(iš) mokyklą.</t>
  </si>
  <si>
    <t>08.02.01.09</t>
  </si>
  <si>
    <t>Finansuoti viešųjų įstaigų, įgyvendinančių bendrąsias ir specialiąsias ugdymo programas bei nevalstybinių tradicinių religinių bendruomenių ir bendrijų mokyklų veiklą (ML 98 % + SB)</t>
  </si>
  <si>
    <t>VšĮ ugdymo įstaigų (,,Smalsieji pabiručiai“ ir Šiaulių jėzuitų mokykla)</t>
  </si>
  <si>
    <t>Nevalstybinių tradicinių religinių bendruomenių ir bendrijų mokyklų</t>
  </si>
  <si>
    <t>08.02.01.14</t>
  </si>
  <si>
    <t>Įgyvendinti projektą „Gerinti mokinių pasiekimus diegiant kokybės krepšelį“</t>
  </si>
  <si>
    <t>Kokybės krepšelį gavusių mokyklų</t>
  </si>
  <si>
    <t>Projekte dalyvauja Juliaus Janonio gimnazija, Dainų ir Romuvos progimnazijos, ,,Santarvės“ gimnazija, ,,Rasos“ ir Vinco Kudirkos progimnazijos.</t>
  </si>
  <si>
    <t>08.02.01.15</t>
  </si>
  <si>
    <t>Įgyvendinti projektą „Mokyklų aprūpinimas gamtos ir technologinių mokslų priemonėmis“</t>
  </si>
  <si>
    <t>08.02.01.16</t>
  </si>
  <si>
    <t>Įgyvendinti projektą „Ugdymo karjerai sistemos tobulinimas Šiaulių miesto savivaldybės bendrojo ugdymo mokyklose“</t>
  </si>
  <si>
    <t>Projekto dalyvių</t>
  </si>
  <si>
    <t>08.03.</t>
  </si>
  <si>
    <t>Tenkinti ikimokyklinio ir priešmokyklinio ugdymo poreikius ikimokyklinio ugdymo įstaigose</t>
  </si>
  <si>
    <t>Ikimokyklinio ugdymo įstaigų</t>
  </si>
  <si>
    <t>28,00</t>
  </si>
  <si>
    <t>08.03.01.</t>
  </si>
  <si>
    <t>Vykdyti ikimokyklinį ir priešmokyklinį ugdymą</t>
  </si>
  <si>
    <t>08.03.01.01</t>
  </si>
  <si>
    <t>Finansuoti ikimokyklinį ir priešmokyklinį ugdymą</t>
  </si>
  <si>
    <t>Ugdymo užtikrinimas ikimokyklinio ugdymo įstaigose.</t>
  </si>
  <si>
    <t>Pagal ikimokyklinę programą ugdomų vaikų</t>
  </si>
  <si>
    <t>4 300,00</t>
  </si>
  <si>
    <t>Lankančių priešmokyklinio ugdymo grupes ikimokyklinio ugdymo įstaigose vaikų</t>
  </si>
  <si>
    <t>440,00</t>
  </si>
  <si>
    <t>Ikimokyklinio ugdymo įstaigose lengvatas gaunančių vaikų</t>
  </si>
  <si>
    <t>730,00</t>
  </si>
  <si>
    <t>Nevalstybines švietimo įstaigas, įgyvendinančias ikimokyklinio ugdymo programas, lankančių ugdytinių</t>
  </si>
  <si>
    <t>08.03.01.07</t>
  </si>
  <si>
    <t>Finansuoti ikimokyklinio ir priešmokyklinio ugdymo programas vykdančias viešąsias įstaigas</t>
  </si>
  <si>
    <t>Viešųjų įstaigų</t>
  </si>
  <si>
    <t>08.04.</t>
  </si>
  <si>
    <t>Tenkinti mokinių pažinimo, ugdymosi ir saviraiškos poreikius, sudaryti palankias sąlygas vaikų socializacijai</t>
  </si>
  <si>
    <t>Neformaliojo vaikų švietimo mokyklų</t>
  </si>
  <si>
    <t>08.04.01.</t>
  </si>
  <si>
    <t>Užtikrinti neformaliojo vaikų švietimo prieinamumą</t>
  </si>
  <si>
    <t>08.04.01.01</t>
  </si>
  <si>
    <t>Vykdyti neformaliojo vaikų švietimo programas</t>
  </si>
  <si>
    <t>Ugdymo užtikrinimas vaikų neformaliojo švietimo mokyklose.</t>
  </si>
  <si>
    <t>Vaikų, lankančių neformaliojo vaikų švietimo mokyklas</t>
  </si>
  <si>
    <t>4 450,00</t>
  </si>
  <si>
    <t>Neformaliojo vaikų švietimo teikėjų</t>
  </si>
  <si>
    <t>43,00</t>
  </si>
  <si>
    <t>2 000,00</t>
  </si>
  <si>
    <t>Neformaliojo vaikų švietimo programų</t>
  </si>
  <si>
    <t>Atlyginimo už neformalųjį vaikų švietimą lengvatą gaunančių vaikų</t>
  </si>
  <si>
    <t>FŠPU dalyvaujančių 1-12 klasių mokinių</t>
  </si>
  <si>
    <t>1 090,00</t>
  </si>
  <si>
    <t>08.04.01.04</t>
  </si>
  <si>
    <t>Įgyvendinti vaikų ir jaunimo vasaros užimtumo programas</t>
  </si>
  <si>
    <t>Vasaros užimtumo programose dalyvaujančių vaikų</t>
  </si>
  <si>
    <t>Mokinių vasaros atostogų metu organizuota 30 vaikų poilsio stovyklų (6 dieninės, 24 turistinės).</t>
  </si>
  <si>
    <t>08.05.</t>
  </si>
  <si>
    <t>Gerinti ugdymo sąlygas ir aplinką</t>
  </si>
  <si>
    <t>Įstaigų, kuriose atnaujintos aplinkos</t>
  </si>
  <si>
    <t>08.05.01.</t>
  </si>
  <si>
    <t>Užtikrinti švietimo įstaigų funkcionavimą</t>
  </si>
  <si>
    <t>08.05.01.01</t>
  </si>
  <si>
    <t>Atnaujinti švietimo įstaigų aplinką, užtikrinti pastatų vidaus komunikacijų funkcionavimą.</t>
  </si>
  <si>
    <t>Švietimo įstaigų, kuriose atnaujintas kiemo apšvietimas</t>
  </si>
  <si>
    <t>08.05.02.</t>
  </si>
  <si>
    <t>Atnaujinti ir modernizuoti švietimo įstaigų ugdymo aplinką</t>
  </si>
  <si>
    <t>08.05.02.07</t>
  </si>
  <si>
    <t>Įgyvendinti projektą „Medelyno progimnazijos  pastato modernizavimas“</t>
  </si>
  <si>
    <t>1.07.</t>
  </si>
  <si>
    <t>08.05.02.08</t>
  </si>
  <si>
    <t>Įgyvendinti projektą „Šiaulių Sporto gimnazijos (Vilniaus g. 297) modernizavimas“</t>
  </si>
  <si>
    <t>Įrengta sporto aikštelė</t>
  </si>
  <si>
    <t>08.05.02.09</t>
  </si>
  <si>
    <t>Įgyvendinti projektą „Santarvės" gimnazijos renovavimas“</t>
  </si>
  <si>
    <t>Atlikta planuotų pastato remonto darbų</t>
  </si>
  <si>
    <t>45,00</t>
  </si>
  <si>
    <t>08.05.02.14</t>
  </si>
  <si>
    <t>Įgyvendinti projektą „J. Janonio gimnazijos pastato Šiauliuose, Tilžės g. 137, rekonstravimas“</t>
  </si>
  <si>
    <t>08.05.02.16</t>
  </si>
  <si>
    <t>Rekonstruoti miesto gimnazijų ir mokyklų sporto aikštynus</t>
  </si>
  <si>
    <t>Atnaujintas "Juventos" progimnazijos sporto aikštynas</t>
  </si>
  <si>
    <t>Atnaujintas ,,Juventos“ progimnazijos sporto aikštynas.</t>
  </si>
  <si>
    <t>08.05.02.17</t>
  </si>
  <si>
    <t>Renovuoti švietimo įstaigų baseinus</t>
  </si>
  <si>
    <t>Atlikta lopšelio-darželio ,,Žiogelis" baseino planuotų rekonstravimo darbų</t>
  </si>
  <si>
    <t>08.05.02.22</t>
  </si>
  <si>
    <t>Įgyvendinti projektą „Rėkyvos progimnazijos rekonstrukcija ir aplinkos gerinimas“</t>
  </si>
  <si>
    <t>Atlikta planuotų mokyklos rekonstravimo darbų</t>
  </si>
  <si>
    <t>89,00</t>
  </si>
  <si>
    <t>08.05.02.23</t>
  </si>
  <si>
    <t>Tvarkyti švietimo įstaigų teritorijų dangas ir įvažiavimus</t>
  </si>
  <si>
    <t>Švietimo įstaigų, kuriose atnaujintos teritorijų dangos ir įvažiavimai, skaičius (Švietimo centras, l/d „Pasaka“ ir kt.)</t>
  </si>
  <si>
    <t>08.05.02.24</t>
  </si>
  <si>
    <t>Atnaujinti švietimo įstaigų teritorijų lauko įrenginius ir aptvėrimą</t>
  </si>
  <si>
    <t>Švietimo įstaigų, kuriose atnaujinti lauko įrenginiai ir aptvertos teritorijos (lopšelis-darželis „Drugelis“, Gegužių progimnazija ir kt.)</t>
  </si>
  <si>
    <t>08.05.02.30</t>
  </si>
  <si>
    <t>Įgyvendinti projektą „Šiaulių Sanatorinės mokyklos modernizavimas"</t>
  </si>
  <si>
    <t>08.05.02.31</t>
  </si>
  <si>
    <t>Atnaujinti švietimo įstaigų pastatus, patalpas, įrangą ir komunikacijas</t>
  </si>
  <si>
    <t>Švietimo įstaigų, atnaujinusių  virtuves ir įrangą (Salduvės, Zoknių progimnazijos, ,,Santarvės“  gimnazija ir kt.)</t>
  </si>
  <si>
    <t>Įstaigų, kurių pastatams apšiltintos sienos (l. d. „Eglutė“, l/d  „Trys nykštukai“ darbų projektavimas pagal priemonę 01.05.01.01)</t>
  </si>
  <si>
    <t>Pradėti lopšelio-darželio ,,Eglutė“ pastato apšiltinimo rangos darbai.</t>
  </si>
  <si>
    <t>Įstaigų, kuriose atliktas elektros instaliacijos remontas (l/d „Vaikystė“, „Ąžuoliukas“ II korpusas ir kt.)</t>
  </si>
  <si>
    <t>Atnaujinta vėdinimo sistema ir lauko laiptai (l/d „Drugelis“, l/d ,,Rugiagėlė“)</t>
  </si>
  <si>
    <t>Įstaigų, kuriose atliktas vamzdynų remontas (l/d „Varpelis“, „Trys nykštukai“ ir kt.)</t>
  </si>
  <si>
    <t>08.05.02.41</t>
  </si>
  <si>
    <t>Įgyvendinti projektą „Didždvario gimnazijos pastato remontas“</t>
  </si>
  <si>
    <t>Atlikta planuotų gimnazijos remonto darbų</t>
  </si>
  <si>
    <t>08.05.02.46</t>
  </si>
  <si>
    <t>Įgyvendinti projektą „Šiaulių Gegužių progimnazijos pastato S.Dariaus ir Girėno g.22, Šiauliai remontas“</t>
  </si>
  <si>
    <t>08.05.02.52</t>
  </si>
  <si>
    <t>Įgyvendinti projektą „Šiaulių Didždvario gimnazijos ir Šiaulių „Juventos“ progimnazijos ugdymo aplinkos modernizavimas“</t>
  </si>
  <si>
    <t>Atnaujintų įstaigų skaičius</t>
  </si>
  <si>
    <t>Visi rangos darbų, įrangos ir baldų pirkimai yra pilnai baigti.</t>
  </si>
  <si>
    <t>08.05.02.53</t>
  </si>
  <si>
    <t>Įgyvendinti projektą „Lopšelio darželio „Kregždutė" modernizavimas“</t>
  </si>
  <si>
    <t>Pagal veiksmų programą ERPF lėšomis sukurtos naujos ikimokyklinio ir priešmokyklinio ugdymo vietų</t>
  </si>
  <si>
    <t>08.05.02.54</t>
  </si>
  <si>
    <t>Įgyvendinti projektą „Modernizuoti edukacines aplinkas Šiaulių 1-ojoje muzikos mokykloje ir Šiaulių dainavimo mokykloje „Dagilėlis“</t>
  </si>
  <si>
    <t>Neformaliojo švietimo įstaigų, kuriose modernizuotos  ugdymo aplinkos ir priemonės skaičius</t>
  </si>
  <si>
    <t>Atnaujintos neformaliojo ugdymo įstaigos</t>
  </si>
  <si>
    <t>08.05.02.61</t>
  </si>
  <si>
    <t>Įgyvendinti projektą „Savivaldybės viešųjų pastatų atnaujinimui teikiamų subsidijų panaudojimas“</t>
  </si>
  <si>
    <t>Atnaujinta (modernizuota) savivaldybės viešųjų pastatų</t>
  </si>
  <si>
    <t>09.</t>
  </si>
  <si>
    <t>Bendruomenės sveikatinimo programa</t>
  </si>
  <si>
    <t>09.01.</t>
  </si>
  <si>
    <t>Sudaryti palankias sąlygas miesto bendruomenei sveikatinti ir gerinti sveikatos priežiūros paslaugų kokybę ir prieinamumą</t>
  </si>
  <si>
    <t>Asmenų sergamumas, tenkantis 1000 savivaldybės gyventojų, skaičiaus pokytis per metus</t>
  </si>
  <si>
    <t>2,60</t>
  </si>
  <si>
    <t>09.01.01.</t>
  </si>
  <si>
    <t>Modernizuoti sveikatos priežiūros įstaigų infrastruktūrą</t>
  </si>
  <si>
    <t>09.01.01.05</t>
  </si>
  <si>
    <t>Įgyvendinti projektą „Energetinių charakteristikų gerinimas VšĮ Dainų pirminės sveikatos priežiūros centre"</t>
  </si>
  <si>
    <t>Apmokėta paskutinė, 2020-12-30 išrašyta, sąskaita, 2021-02-09 komisija surašė atliktų statybos darbų priėmimo aktą. Darbai užbaigti.</t>
  </si>
  <si>
    <t>09.01.01.11</t>
  </si>
  <si>
    <t>Įgyvendinti projektą „VšĮ Šiaulių ilgalaikio gydymo ir geriatrijos centro pastatų rekonstravimas, aktyvios ventiliacijos įrengimas, kiemo gerbūvio sutvarkymas ir maisto gamybos skyriaus modernizavimas"</t>
  </si>
  <si>
    <t>Atlikta senojo korpuso rekuperavimo ir kondicionavimo sistemos įrengimo darbų</t>
  </si>
  <si>
    <t>Organizuotas viešasis pirkimas "Aktyvios ventiliacijos įrengimo VŠĮ Šiaulių ilgalaikio gydymo ir geriatrijos centro skyriuose". Rekonstruotas Šiaulių ilgalaikio gydymo ir geriatrijos centro pastatas, įrengta aktyvi ventiliacija, atlikta darbų 50 proc.</t>
  </si>
  <si>
    <t>09.01.01.12</t>
  </si>
  <si>
    <t>Pritraukti gydytojus specialistus į Šiaulių miestą ir išlaikyti jame</t>
  </si>
  <si>
    <t>Paremtų gydytojų, atvykusių dirbti į Šiaulius</t>
  </si>
  <si>
    <t>IV ketv. pateiktas prašymas dėl 2 gydytojų specialistų finansavimo. Finansuotas 1 gydytojas specialistas, atvykęs dirbti į Šiaulių reabilitacijos centrą.</t>
  </si>
  <si>
    <t>Finansuotų rezidentų</t>
  </si>
  <si>
    <t>Vadovaujantis Tvarkos aprašu toliau finansuoti 3 rezidentai pagal 2019-2020 m. pateiktus prašymus. IV ketv. pateiktas naujas prašymas dėl 3 rezidentų finansavimo nuo 2022 m.</t>
  </si>
  <si>
    <t>09.01.01.13</t>
  </si>
  <si>
    <t>Modernizuoti VšĮ Šiaulių centro polikliniką</t>
  </si>
  <si>
    <t>Atlikta laiptinių stiklinių sienų remonto darbų</t>
  </si>
  <si>
    <t>Šiaulių centro poliklinikos laiptinių stiklinių sienų remonto darbai atlikti 100 proc.</t>
  </si>
  <si>
    <t>09.01.01.15</t>
  </si>
  <si>
    <t>Įgyvendinti projektą „Pirminės asmens sveikatos priežiūros veiklos efektyvumo didinimas Šiaulių mieste"</t>
  </si>
  <si>
    <t>Pacientų, kuriems pagerinta paslaugų kokybė ir prieinamumas</t>
  </si>
  <si>
    <t>Atliktas paskutinis mokėjimas už Dainų PSPC 2020 m. pristatytą odontologinę įrangą, kompensuotos Šiaulių centro poliklinikos 2020 m. patirtos išlaidos už odontologinę įrangą ir kraujo analizatorių. Atliktas paskutinis mokėjimas už Dainų PSPC 2020 metais atliktus rangos darbus, įrengtas liftas Šiaulių centro poliklinikoje, Šaulių centro poliklinika įsigijo šlapimo analizatorių, tris automobilius, 10 suaugusiųjų ir vaikų pulsoksimetrų, 2 tonometrus akispūdžiui matuoti, 10 kamertonų, 10 suaugusiųjų svarstyklų, 20 stetofonendoskopų.</t>
  </si>
  <si>
    <t>Viešąsias sveikatos paslaugas teikiančios asmens sveikatos priežiūros įstaigos, kuriose modernizuota paslaugų teikimo infrastruktūra</t>
  </si>
  <si>
    <t>09.01.01.17</t>
  </si>
  <si>
    <t>VšĮ Dainų pirminės sveikatos priežiūros centro sveikatos priežiūros paslaugų kokybės ir prieinamumo gerinimas</t>
  </si>
  <si>
    <t>09.02.</t>
  </si>
  <si>
    <t>Sudaryti palankias sąlygas miesto bendruomenei sveikatinti</t>
  </si>
  <si>
    <t>Vykdytų sveikatinimo iniciatyvų skaičius</t>
  </si>
  <si>
    <t>Vandens telkinių sveikam gyventojų poilsiui pritaikymas</t>
  </si>
  <si>
    <t>Gyventojams įvykdytų visuomenės sveikatą tausojančių ir stiprinančių veiklų</t>
  </si>
  <si>
    <t>4 500,00</t>
  </si>
  <si>
    <t>09.02.01.</t>
  </si>
  <si>
    <t>Plėtoti visuomenės sveikatos priežiūros paslaugas, sustiprinti ligų prevenciją ir ugdyti visuomenės poreikį sveikai gyventi</t>
  </si>
  <si>
    <t>09.02.01.01</t>
  </si>
  <si>
    <t>Įsitraukti į sveikatinimo iniciatyvas, prevencines programas ir jas vykdyti</t>
  </si>
  <si>
    <t>Vykdytų sveikatinimo iniciatyvų, prevencinių programų</t>
  </si>
  <si>
    <t>Įvykdyta sveikatinimo iniciatyvų, prevencinių programų: 100 proc. įgyvendintos Covid-19 (koronaviruso infekcijos) ligos valdymo priemonės, priemonių įgyvendinimui skirtos lėšos panaudotos prekių, paslaugų ir priemonių apmokėjimui pagal poreikį mobilaus punkto, karščiavimo klinikos ir vakcinavimo centro veiklos organizavimui, tikslinės grupės asmenų apgyvendinimo ir maitinimo paslaugų organizavimui savivaldybės numatytose izoliacijos patalpose; skatinant Šiaulių miesto bendruomenės fizinį aktyvumą finansuotas 6 projektų įgyvendinimas, kurių metu fizinėse veiklose dalyvavo 2936 asmenys.</t>
  </si>
  <si>
    <t>09.02.01.02</t>
  </si>
  <si>
    <t>Sukurti ir gerinti miesto bendruomenės sveikatinimo sąlygas, užtikrinant sveikatinimo projektų finansavimą</t>
  </si>
  <si>
    <t>Sveikatinimo iniciatyvose dalyvavusių asmenų</t>
  </si>
  <si>
    <t>400,00</t>
  </si>
  <si>
    <t>09.02.01.03</t>
  </si>
  <si>
    <t>Įgyvendinti projektą „Sveikos gyvensenos skatinimas Šiaulių mieste"</t>
  </si>
  <si>
    <t>Tikslinių grupių asmenų, kurie dalyvavo informavimo, švietimo ir mokymo renginiuose bei sveikatos raštingumą didinančiose veiklose</t>
  </si>
  <si>
    <t>250,00</t>
  </si>
  <si>
    <t>Šiaulių miesto savivaldybės visuomenės sveikatos biuro įgyvendinta viena projekto „Sveikos gyvensenos skatinimas Šiaulių mieste“ veikla „Mokymas plaukti“, kurioje 286 antrų klasių mokiniai (unikalūs projekto dalyviai) išmokyti saugiai elgtis vandenyje ir taisyklingai plaukti.</t>
  </si>
  <si>
    <t>09.02.02.</t>
  </si>
  <si>
    <t>Pritaikyti vandens telkinius rekreacijai ir sveikam žmonių poilsiui</t>
  </si>
  <si>
    <t>09.02.02.01</t>
  </si>
  <si>
    <t>Vykdyti maudyklų vandens kokybės stebėseną ir paruošti duomenų rinkmenas apie maudyklų vandens charakteristikas</t>
  </si>
  <si>
    <t>Vykdyta maudyklų vandens kokybės stebėsena</t>
  </si>
  <si>
    <t>Vandens maudyklų kokybės stebėsena Rėkyvos ežero ir Prūdelio tvenkinio paplūdymiuose, Talkšos ežero ir Rekyvos ežero Bačiūnų maudyklose pagal nustatytą grafiką įvykdyta 100 proc.: atlikta 116 vandens tyrimų pagal mikrobiologinius, parazitologinius, fizikinius parametrus; pastatyta 16 informacinių ir įspėjamųjų stendų, pritvirtinta 12 plūdurų; vykdyta 1 biotualeto nuoma. Sezono metu (06.03-08.31)  gyventojai informuoti dėl saugaus elgesio vandens telkiniuose ir paplūdimiuose; 31 kartą suteikta pirmoji būtinoji medicininė pagalba; įvykdyta maudyklų ir paplūdimio priežiūra.</t>
  </si>
  <si>
    <t>09.02.03.</t>
  </si>
  <si>
    <t>Vystyti Visuomenės sveikatos biuro veiklą</t>
  </si>
  <si>
    <t>09.02.03.01</t>
  </si>
  <si>
    <t>Vykdyti Visuomenės sveikatos biuro funkcijas</t>
  </si>
  <si>
    <t>Privalomojo mokymo metu mokytų asmenų</t>
  </si>
  <si>
    <t>Privalomojo mokymo metu apmokyti II ketv. 75, III ketv. 265, IV ketv. 195 asmenys.</t>
  </si>
  <si>
    <t>09.02.03.03</t>
  </si>
  <si>
    <t>Plėtoti sveiką gyvenseną ir stiprinti mokinių sveikatos įgūdžius ugdymo įstaigose</t>
  </si>
  <si>
    <t>Ugdymo įstaigų, kuriose vykdytos visuomenės sveikatos priežiūros funkcijos</t>
  </si>
  <si>
    <t>68 ugdymo (ikimokyklinio ugdymo, bendrojo lavinimo ir profesinio rengimo) įstaigose įvykdytos visuomenės sveikatos priežiūros funkcijos.</t>
  </si>
  <si>
    <t>1.04.</t>
  </si>
  <si>
    <t>Mokinių, dalyvavusių sveikatinimo veiklose ugdymo įstaigose</t>
  </si>
  <si>
    <t>40 000,00</t>
  </si>
  <si>
    <t>Sveikatinimo veiklose ugdymo įstaigose dalyvavo I ketv. 19860, II ketv. 25606,  III ketv. 10887, IV ketv 12345 mokiniai.</t>
  </si>
  <si>
    <t>Renginių, organizuotų ugdymo įstaigų mokiniams</t>
  </si>
  <si>
    <t>Mokiniams ugdymo įstaigose organizuoti I ketv. 1029, II ketv. 1258, III ketv. 527, IV ketv. - 661 renginiai.</t>
  </si>
  <si>
    <t>09.02.03.05</t>
  </si>
  <si>
    <t>Stiprinti sveikos gyvensenos įgūdžius bendruomenėse bei vykdyti visuomenės sveikatos stebėseną</t>
  </si>
  <si>
    <t>Stebėsenos ataskaitų su pasiūlymais dėl gyventojų sveikatos būklės gerinimo</t>
  </si>
  <si>
    <t>Parengta stebėsenos ataskaita su pasiūlymais dėl gyventojų sveikatos būklės gerinimo.</t>
  </si>
  <si>
    <t>Miesto gyventojų, dalyvavusių sveikatinimo veiklose</t>
  </si>
  <si>
    <t>20 000,00</t>
  </si>
  <si>
    <t>Sveikatinimo veiklose dalyvavo I ketv. 4324, II ketv. 6497, III ketv. 7127, IV ketv. 4575 miesto gyventojai.</t>
  </si>
  <si>
    <t>Renginių, organizuotų miesto gyventojams</t>
  </si>
  <si>
    <t>Miesto gyventojams organizuoti I ketv. 145, II ketv. 192, III ketv. 239, IV ketv. 248 renginiai.</t>
  </si>
  <si>
    <t>Parengtų informacinių pranešimų, straipsnių</t>
  </si>
  <si>
    <t>Parengti informaciniai pranešimai, straipsniai: I ketv. 145, II ketv. 126, III ketv. 107, IV ketv. 183.</t>
  </si>
  <si>
    <t>Asmenų, baigusių Širdies ir kraujagyslių ligų ir cukrinio diabeto prevencinę sveikatos stiprinimo programą</t>
  </si>
  <si>
    <t>Asmenys, baigę Širdies ir kraujagyslių ligų ir cukrinio diabeto prevencinę sveikatos stiprinimo programą: I ketv. - 30, II ketv. - 23, baigę programą III ketv., III ketv. - 7, IV ketv. - 45.</t>
  </si>
  <si>
    <t>09.02.03.06</t>
  </si>
  <si>
    <t>Plėtoti visuomenės psichikos sveikatos paslaugų prieinamumą bei ankstyvojo savižudybių atpažinimo ir kompleksinės pagalbos teikimo sistemą</t>
  </si>
  <si>
    <t>Suteiktų individualių konsultacijų</t>
  </si>
  <si>
    <t>Gyventojams suteiktos individualios konsultacijos: I ketv. 211, II ketv. 515, III ketv. 462, IV ketv. 367.</t>
  </si>
  <si>
    <t>Suteiktų grupinių konsultacijų</t>
  </si>
  <si>
    <t>Gyventojams suteiktos grupinės konsultacijos: I ketv. 23, II ketv. 91, III ketv. 90, IV ketv. 40.</t>
  </si>
  <si>
    <t>Pravestų mokymų</t>
  </si>
  <si>
    <t>Gyventojams pravesta 12 mokymų.</t>
  </si>
  <si>
    <t>09.02.06.</t>
  </si>
  <si>
    <t>Vykdyti triukšmo prevenciją</t>
  </si>
  <si>
    <t>09.02.06.02</t>
  </si>
  <si>
    <t>Įgyvendinti projektą „Geležinkelių transporto aplinkos apsaugos priemonių (triukšmą slopinančių priemonių) diegimas Šiaulių miesto savivaldybėje"</t>
  </si>
  <si>
    <t>Įdiegtų saugų eismą gerinančių ir aplinkosaugos priemonių</t>
  </si>
  <si>
    <t>CPVA patvirtinus projekto mokėjimo prašymus projekto vykdytojui išmokama 7,5 proc. tinkamų finansuoti išlaidų ir 50 proc. netinkamų finansuoti išlaidų. 2021 m. pilna apimtimi įrengta triukšmo užtvara Margių g. aplinkoje, vykdyti triukšmo užtvaros įrengimo darbai Žaliūkių g. darbai, kurie, dėl užsitęsusių rangos darbų nebaigti 2021 m. Projektą vykdo projekto partneris - UAB "LTG infra".</t>
  </si>
  <si>
    <t>09.03.</t>
  </si>
  <si>
    <t>Mažinti socialinius sveikatos netolygumus</t>
  </si>
  <si>
    <t>Suteiktų paslaugų skaičius pažeidžiamiausioms gyventojų grupėms</t>
  </si>
  <si>
    <t>09.03.01.</t>
  </si>
  <si>
    <t xml:space="preserve">Gerinti gyvenimo kokybę pažeidžiamiausioms gyventojų grupėms didinant sveikatos priežiūros </t>
  </si>
  <si>
    <t>09.03.01.01</t>
  </si>
  <si>
    <t xml:space="preserve">Kompensuoti ir teikti medicinines paslaugas pažeidžiamiausioms gyventojų grupėms </t>
  </si>
  <si>
    <t>Dantų protezavimo paslaugas gavusių asmenų</t>
  </si>
  <si>
    <t>Dantų protezavimo paslaugas gavo 1 asmuo.</t>
  </si>
  <si>
    <t>Slaugos paslaugas gavusių asmenų</t>
  </si>
  <si>
    <t>Slaugos paslaugas gavo 3 asmenys.</t>
  </si>
  <si>
    <t>Pervežtų pacientų</t>
  </si>
  <si>
    <t>Nebuvo poreikio pervežti pacientų.</t>
  </si>
  <si>
    <t>Ortodonto suteiktų konsultacijų</t>
  </si>
  <si>
    <t>Įgyvendintas projektas „Ortodonto paslaugų prieinamumo didinimas Šiaulių miesto vaikams“, kurio metu suteiktos papildomos, iš Privalomojo sveikatos draudimo fondo nefinansuojamos, ortodonto konsultacijos Šiaulių miesto vaikams, pagerintas ortodonto paslaugų prieinamumas.</t>
  </si>
  <si>
    <t>09.03.01.03</t>
  </si>
  <si>
    <t>Organizuoti privalomąjį profilaktinį aplinkos kenksmingumo pašalinimą</t>
  </si>
  <si>
    <t>Gavusių paslaugas asmenų</t>
  </si>
  <si>
    <t>3 asmenys gavo profilaktinio aplinkos kenksmingumo pašalinimo paslaugas (patalpų valymas, dezinfekcija): suteiktos 5 paslaugos.</t>
  </si>
  <si>
    <t>09.03.01.04</t>
  </si>
  <si>
    <t>Įgyvendinti projektą „Paramos priemonių tuberkulioze sergantiems asmenims įgyvendinimas Šiaulių mieste"</t>
  </si>
  <si>
    <t>Tuberkulioze sergančių pacientų, kuriems buvo suteiktos socialinės paramos priemonės tuberkuliozės ambulatorinio gydymo metu</t>
  </si>
  <si>
    <t>Paslaugos paslaugos gavėjams teikiamos DOTS kabinete. Asmenų gydymo trukmė priklauso nuo ligonių būklės, 2021 m. pilnai gydymą baigė 13 asmenų.</t>
  </si>
  <si>
    <t>09.03.01.05</t>
  </si>
  <si>
    <t>Įgyvendinti projektą „Priklausomybės ligų profilaktikos, diagnostikos ir gydymo kokybės ir prieinamumo gerinimas Šiaulių mieste"</t>
  </si>
  <si>
    <t>Apsilankymų žemo slenksčio paslaugų kabinetuose</t>
  </si>
  <si>
    <t>1 000,00</t>
  </si>
  <si>
    <t>Žemo slenksčio paslaugų kabinete asmenims, nepasirengusiems atsisakyti narkotikų vartojimo, sudarytos sąlygos naudotis žalos mažinimo paslaugomis (švirkštų, adatų keitimas, tvarsliavos, dezinfekcijos priemonių dalijimas). Paslaugos teikiamos pagal poreikį.</t>
  </si>
  <si>
    <t>10.</t>
  </si>
  <si>
    <t>Socialinės paramos įgyvendinimo programa</t>
  </si>
  <si>
    <t>10.01.</t>
  </si>
  <si>
    <t>Įgyvendinti socialinės apsaugos sistemą, mažinančią socialinę atskirtį ir užtikrinančią pažeidžiamų gyventojų grupių socialinę integraciją</t>
  </si>
  <si>
    <t>Socialinių paslaugų gavėjų dalis nuo bendro Šiaulių miesto gyventojų skaičiaus</t>
  </si>
  <si>
    <t>42,50</t>
  </si>
  <si>
    <t>Piniginės socialinės paramos gavėjų dalis nuo bendro Šiaulių miesto gyventojų skaičiaus</t>
  </si>
  <si>
    <t>Mažas pajamas gaunančių socialinės paramos gavėjų dalis nuo bendro Šiaulių miesto gyventojų skaičiaus</t>
  </si>
  <si>
    <t>10.01.01.</t>
  </si>
  <si>
    <t>Teikti socialines paslaugas ir didinti jų prieinamumą įvairioms gyventojų grupėms</t>
  </si>
  <si>
    <t>10.01.01.05</t>
  </si>
  <si>
    <t>Teikti ilgalaikės, trumpalaikės ir dienos socialinės globos paslaugas senyvo amžiaus asmenims, suaugusiems asmenims ir vaikams su negalia ir su sunkia negalia</t>
  </si>
  <si>
    <t>Teikiamų paslaugų rūšių</t>
  </si>
  <si>
    <t>Teikiamos ilgalaikės, trumpalaikės, dienos (institucijoje arba asmens namuose) ir laikino atokvėpio socialinės globos paslaugos asmenims su sunkia negalia.</t>
  </si>
  <si>
    <t>Paslaugų gavėjų su sunkia negalia</t>
  </si>
  <si>
    <t>540,00</t>
  </si>
  <si>
    <t>10.01.01.07</t>
  </si>
  <si>
    <t>Įgyvendinti Užimtumo didinimo programą laikiną užimtumą užtikrinančiomis priemonėmis</t>
  </si>
  <si>
    <t>Sukurtų laikinų darbo vietų</t>
  </si>
  <si>
    <t>39,00</t>
  </si>
  <si>
    <t>Įgyvendinant Užimtumo didinimo programą iš viso per 2021 m. buvo sukurtos 39 laikinos darbo vietos (iš jų: viešojo naudojimo teritorijų ir aplinkos tvarkymo darbams atlikti 21 laikina darbo vieta, socialinių paslaugų asmenims su negalia ir vienišiems pagyvenusiems asmenims teikimui 6, auklėtojo (mokytojo) padėjėjo paslaugos teikimui 12).</t>
  </si>
  <si>
    <t>10.01.01.08</t>
  </si>
  <si>
    <t>Teikti ilgalaikės, trumpalaikės ir dienos socialinės globos paslaugas senyvo amžiaus asmenims, suaugusiems asmenims su negalia ir vaikams su negalia</t>
  </si>
  <si>
    <t>Teikiamos ilgalaikės, trumpalaikės, dienos (institucijoje arba asmens namuose) ir laikino atokvėpio socialinės globos paslaugos senyvo amžiaus asmenims, darbingo amžiaus asmenims su negalia ir vaikams su negalia.</t>
  </si>
  <si>
    <t>Paslaugų gavėjų</t>
  </si>
  <si>
    <t>155,00</t>
  </si>
  <si>
    <t>160,00</t>
  </si>
  <si>
    <t>Patenkintų prašymų laikino atokvėpio paslaugai gauti (nuo pateiktų asmenų prašymų)</t>
  </si>
  <si>
    <t>85,00</t>
  </si>
  <si>
    <t>10.01.02.</t>
  </si>
  <si>
    <t>Didinti socialinių paslaugų prieinamumą</t>
  </si>
  <si>
    <t>10.01.02.01</t>
  </si>
  <si>
    <t>Užtikrinti Šiaulių miesto savivaldybės socialinių paslaugų centro veiklą</t>
  </si>
  <si>
    <t>Teikiamų socialinių paslaugų rūšių</t>
  </si>
  <si>
    <t>Teikiamos šios paslaugos: 
Bendrosios socialinės paslaugos:
1) informavimas; 2) konsultavimas; 3) tarpininkavimas ir atstovavimas; 4) maitinimo organizavimas; 5) aprūpinimas būtiniausiais drabužiais ir avalyne; 6) transporto organizavimas; 7) sociokultūrinės paslaugos; 8) asmeninės higienos ir priežiūros paslaugų organizavimas; 9) neįgaliųjų aprūpinimas techninės pagalbos priemonėmis; 10) vaikų dienos užimtumo organizavimas; 11) psichologo paslaugos.
Specialiosios socialinės paslaugos:
1) pagalba į namus; 2) dienos socialinė globa asmens namuose (integrali pagalba); 3) GIMK (globėjų (rūpintojų) ir įtėvių mokymas ir konsultavimas; 4) globos centro paslaugos; 5) socialinė priežiūra socialinės rizikos šeimoms; 6) apgyvendinimas nakvynės namuose; 7) krizių centro paslauga; 8) laikinas apnakvindinimas; 9) asmeninio asistento paslauga (asmeninė pagalba asmenims su negalia); 10) pagalba iš pataisos įstaigų paleistiems (paleidžiamiems) asmenims.</t>
  </si>
  <si>
    <t>Aptarnautų asmenų (šeimų)</t>
  </si>
  <si>
    <t>16 300,00</t>
  </si>
  <si>
    <t>10.01.02.02</t>
  </si>
  <si>
    <t>Įgyvendinti Būsto pritaikymo neįgaliesiems programą</t>
  </si>
  <si>
    <t>Pritaikytų būstų ir gyvenamosios aplinkos dalis nuo visų gautų paraiškų</t>
  </si>
  <si>
    <t>Pritaikytų būstų suaugusiems asmenims dalis nuo visų gautų paraiškų</t>
  </si>
  <si>
    <t>2021 m. buvo pritaikyti 29 būstai asmenims su negalia.</t>
  </si>
  <si>
    <t>Pritaikytų būstų vaikams dalis nuo visų gautų paraiškų</t>
  </si>
  <si>
    <t>10.01.02.04</t>
  </si>
  <si>
    <t>Užtikrinti Šiaulių miesto savivaldybės vaikų globos namų veiklą</t>
  </si>
  <si>
    <t>Teikiamų paslaugų</t>
  </si>
  <si>
    <t>Teikiamos šios paslaugos:
1) ilgalaikė socialinė globa;
2) trumpalaikė socialinė globa;
3) socialinė priežiūra šeimoms, patiriančioms riziką;
4) dienos užimtumo grupė (vaikų dienos centras);
5) Krizių centro paslaugos.</t>
  </si>
  <si>
    <t>10.01.02.05</t>
  </si>
  <si>
    <t>Užtikrinti Šiaulių miesto savivaldybės globos namų veiklą</t>
  </si>
  <si>
    <t>10.01.02.06</t>
  </si>
  <si>
    <t>Įgyvendinti projektą „Integrali pagalba į namus Šiaulių mieste"</t>
  </si>
  <si>
    <t>230,00</t>
  </si>
  <si>
    <t>Patenkintų prašymų integraliai pagalbai (asmens namuose) paslaugai gauti (nuo pateiktų asmenų prašymų)</t>
  </si>
  <si>
    <t>10.01.02.07</t>
  </si>
  <si>
    <t>Teikiamos šios paslaugos:
1) Socialinės priežiūros paslaugos šeimoms, patiriančioms socialinę riziką (paslaugą teikia Labdaros ir paramos fondas "SOS vaikų kaimų Lietuvoje draugija") (iš VB lėšų);
2) Kompleksinės paslaugos šeimoms krizės atveju (paslaugą teikia VŠĮ "Motinos Teresės šeimų namai");
3) Išvadų dėl asmens gebėjimo pasirūpinti savimi rengimas;
4) Paramos maisto produktais ir asmens higienos priemonėmis teikimo labiausiai nepasiturintiems Šiaulių miesto gyventojams organizavimas (partneris - Labdaros ir paramos fondas "Maisto bankas");
5) Pavėžėjimo su pagalba paslauga asmenims, turintiems negalią;
6) Asmeninės pagalbos paslauga asmenims su negalia (iš VB lėšų)..</t>
  </si>
  <si>
    <t>Suteikta pavėžėjimo su pagalba paslaugų asmenims su negalia nuo pateiktų prašymų</t>
  </si>
  <si>
    <t>Iki 2021 m. kovo mėn. pavėžėjimo su pagalba paslaugą teikė Šiaulių apskrities sergančiųjų išsėtine skleroze draugija. Pasibaigus sutarčiai su minėta organizacija, įvyko šios paslaugos viešojo pirkimo procedūros, ir 2021 m. gruodžio 30 d. buvo pasirašyta sutartis su kitu paslaugos teikėju, paslauga bus pradėta teikti nuo 2022 m.</t>
  </si>
  <si>
    <t>Parengta Šiaulių mieste gyvenančių senyvo amžiaus asmenų ir asmenų su negalia duomenų analizė</t>
  </si>
  <si>
    <t>Sukurta informavimo sistema apie teikiamas socialines paslaugas Šiaulių mieste</t>
  </si>
  <si>
    <t>Atlikta socialinių paslaugų poreikio pagal tikslines grupes analizė (apklausa) ir susisteminti duomenys. Sukurtas informacijos apie teikiamas socialines paslaugas ir jų teikėjus pateikimo modelis; pagal tikslines paslaugų gavėjų grupes ir gyvenimo atvejus parinktas informacijos pateikimo būdas ir vykdomas teikiamų paslaugų viešinimas (interneto svetainėje, ACM, regiono televizijoje, padalomoji medžiaga sveikatos, gydymo, socialinių paslaugų įstaigose, Neįgalumo ir darbingumo nustatymo tarnybose ir kt.). Pradėtas vykdyti Šiaulių m. gyventojų informavimas ir konsultavimas dėl socialinių paslaugų gavimo ir teikimo (skambučių linija ,,Kas man priklauso?" arba ,,Jums reikia pagalbos?")</t>
  </si>
  <si>
    <t>Suteikta asmeninės pagalbos paslaugų asmenims su negalia nuo pateiktų prašymų</t>
  </si>
  <si>
    <t>Asmeninės pagalbos (asmeninio asistento) paslauga asmenims su negalia pradėta teikti nuo 2021 m. liepos 1 d.. Paslauga finansuojama valstybės biudžeto lėšomis per Neįgaliųjų reikalų departamentą prie SADM.</t>
  </si>
  <si>
    <t>10.01.02.08</t>
  </si>
  <si>
    <t>Įgyvendinti projektą „Kompleksinės paslaugos šeimai Šiaulių miesto savivaldybėje"</t>
  </si>
  <si>
    <t>Asmenų (šeimų), gavusių paslaugas</t>
  </si>
  <si>
    <t>177,00</t>
  </si>
  <si>
    <t>Organizuotos individualios psichologų konsultacijos, pozityvios tėvystės mokymai, seminarai. Derinimas prašymas dėl papildomo finansavimo ir projekto veiklų pratęsimo iki 2022-12-31.</t>
  </si>
  <si>
    <t>10.01.02.09</t>
  </si>
  <si>
    <t>Užtikrinti Globos centro veiklą</t>
  </si>
  <si>
    <t>Budinčių globotojų</t>
  </si>
  <si>
    <t>10.01.02.10</t>
  </si>
  <si>
    <t>Užtikrinti socialinės globos paslaugų teikimą vaikams, likusiems be tėvų globos</t>
  </si>
  <si>
    <t>Globojamų vaikų šeimose</t>
  </si>
  <si>
    <t>Globojamų vaikų šeimynose</t>
  </si>
  <si>
    <t>Globojamų vaikų bendruomeniniuose vaikų globos namuose</t>
  </si>
  <si>
    <t>Bendruomeniniuose vaikų globos namuose (VŠĮ "Vilniaus SOS vaikų kaimas") globojami 8 tėvų globos netekę vaikai.</t>
  </si>
  <si>
    <t>Globojamų vaikų institucijose</t>
  </si>
  <si>
    <t>Instituciniuose vaikų globos namuose (Kuršėnų vaikų globos namai) globojamas 1 vaikas.</t>
  </si>
  <si>
    <t>10.01.02.11</t>
  </si>
  <si>
    <t>Užtikrinti dienos socialinės globos asmens namuose paslaugos teikimą Šiaulių mieste</t>
  </si>
  <si>
    <t>10.01.02.12</t>
  </si>
  <si>
    <t>Plėsti bendruomenines paslaugas vaikams</t>
  </si>
  <si>
    <t>Pritaikytų būstų bendruomeninių vaikų globos namų veiklai</t>
  </si>
  <si>
    <t>Bendruomeninių vaikų globos namų įkūrimo projekte (Aušros al. 29) atlikti projektavimo darbai, įvykdyta projekto ekspertizė ir gautas statybos leidimas. Rangos darbų sutartis pasirašyta 2021 m. gruodžio mėn.</t>
  </si>
  <si>
    <t>Suremontuota ir įranga aprūpinta vaikų dienos centrų</t>
  </si>
  <si>
    <t>Vaikų dienos centro projekte baigti Asociacijos regbio sporto klubas "Vairas" vaikų dienos centro remonto darbai, įsigyta įranga.</t>
  </si>
  <si>
    <t>10.01.02.15</t>
  </si>
  <si>
    <t>Pastatyti (pritaikyti pastatą) nakvynės namų ir apgyvendinimo paslaugoms teikti</t>
  </si>
  <si>
    <t>Pritaikytų vietų laikino apgyvendinimo paslaugoms teikti (Tiesos g. 3)</t>
  </si>
  <si>
    <t>Dalis II ir III etapo statybos darbų laikino apgyvendinimo paslaugoms teikti (Tiesos g. 3) buvo nutraukta, nes rangovas tinkamai nevykdė sutartinių įsipareigojimų. Planuojama skelbti naują konkursą šiems darbams atlikti, todėl nepanaudotų lėšų likutis buvo perkeltas į 2022 m</t>
  </si>
  <si>
    <t>Paslaugų gavėjų (Tiesos g. 3)</t>
  </si>
  <si>
    <t>Pritaikytų vietų apnakvindinimo paslaugoms teikti (Kauno g. 6)</t>
  </si>
  <si>
    <t>Paslaugų gavėjų (Kauno g. 6)</t>
  </si>
  <si>
    <t>10.01.02.17</t>
  </si>
  <si>
    <t>Užtikrinti kompleksinių paslaugų namų „Alka" veiklą</t>
  </si>
  <si>
    <t>Dėl įstaigos dalyvavimo pertvarkos procese, nauji paslaugų gavėjai nebepriimami.</t>
  </si>
  <si>
    <t>10.01.02.18</t>
  </si>
  <si>
    <t>Įgyvendinti projektą „Vaikų socialinės integracijos skatinimas Jelgavos ir Šiaulių miestuose“</t>
  </si>
  <si>
    <t>Įvykdyti vaikų dienos centro ,,Tarp savų" patalpų remonto darbai.</t>
  </si>
  <si>
    <t>Įdiegta atsiskaitymo be grynųjų pinigų sistema mokyklose</t>
  </si>
  <si>
    <t>Įvykdyta rinkos konsultacija prieš rengiant pirkimo dokumentus.</t>
  </si>
  <si>
    <t>Suteikta psichologo ir teisinių konsultacijų</t>
  </si>
  <si>
    <t>Įvykdyti psichologo ir teisinių paslaugų konsultacijų pirkimai. Tiekėjai pradėjo teikti paslaugas pagal globos centro rekomendacijas siunčiamiems asmenims.</t>
  </si>
  <si>
    <t>Parengta ir pritaikyta darbo su jaunimu gatvėje metodika</t>
  </si>
  <si>
    <t>Parengtas pirminis darbo su jaunimu gatvėje metodikos variantas, kuris yra išbandomas ir tikslinamas po pilotinio bandymo. Pilotui įgyvendinti įdarbinti 2 socialiniai darbuotojai (po 0,5 etato), kurie dirba su jaunimu gatvėje.</t>
  </si>
  <si>
    <t>10.01.02.19</t>
  </si>
  <si>
    <t>Gerinti socialinių paslaugų įstaigų pastatų būklę</t>
  </si>
  <si>
    <t>Atlikti Šiaulių miesto savivaldybės globos namų (Energetikų g. 20A) stogo ir gyvenamųjų patalpų remonto darbai</t>
  </si>
  <si>
    <t>10.01.03.</t>
  </si>
  <si>
    <t>Plėsti  socialinių paslaugų įstaigų infrastruktūrą, atnaujinant ir modernizuojant esamus bei įrengiant naujus socialinės paskirties įstaigų pastatus</t>
  </si>
  <si>
    <t>10.01.03.08</t>
  </si>
  <si>
    <t>Atnaujinti dienos socialinės globos centro „Goda'' pastatą (Žalgirio g. 3)</t>
  </si>
  <si>
    <t>Įsigyta ir pristatyta įranga (viryklė ir krosnis).</t>
  </si>
  <si>
    <t>10.01.03.10</t>
  </si>
  <si>
    <t>Rekonstruoti Šiaulių miesto savivaldybės socialinių paslaugų centro Paramos tarnybos pastatą (Stoties g.)</t>
  </si>
  <si>
    <t>Atliktas pastato išorinės dalies atnaujinimas (modernizavimas)</t>
  </si>
  <si>
    <t>10.01.03.11</t>
  </si>
  <si>
    <t>Naujo padalinio prie Šiaulių miesto savivaldybės globos namų (Energetikų g. 13 A) statyba</t>
  </si>
  <si>
    <t>10.01.03.12</t>
  </si>
  <si>
    <t>Įgyvendinti projektą „Bendruomeninių apgyvendinimo bei užimtumo paslaugų asmenims su proto ir psichikos negaliai plėtra Šiaulių mieste“</t>
  </si>
  <si>
    <t>Parengtas Vilniaus g. 303, Šiauliuose techninis projektas, šiuo metu atliekama techninio projekto ekspertizė. GGN projektavimo paslaugos sutartis pasirašyta 2021-09-01, šiuo metu vyksta projektavimo darbai.</t>
  </si>
  <si>
    <t>10.01.03.13</t>
  </si>
  <si>
    <t>Įgyvendinti projektą „Paslaugų centro vaikams įkūrimas Šiaulių regione"</t>
  </si>
  <si>
    <t>Atliktų Socialinių paslaugų centro pastato (Soties g. 9C) rangos darbų</t>
  </si>
  <si>
    <t>Projektas nebuvo pradėtas įgyvendinti, nes šiam projektui neskirtas ES finansavimas.</t>
  </si>
  <si>
    <t>10.01.04.</t>
  </si>
  <si>
    <t xml:space="preserve">Bendradarbiauti su nevyriausybinėmis organizacijomis, teikiančiomis socialinės reabilitacijos paslaugas </t>
  </si>
  <si>
    <t>10.01.04.01</t>
  </si>
  <si>
    <t>Finansuoti socialinės reabilitacijos paslaugų neįgaliesiems bendruomenėje projektus</t>
  </si>
  <si>
    <t>Finansuojamų projektų</t>
  </si>
  <si>
    <t>10.01.05.</t>
  </si>
  <si>
    <t>Užtikrinti valstybės garantuotos piniginės socialinės paramos teikimą</t>
  </si>
  <si>
    <t>10.01.05.01.</t>
  </si>
  <si>
    <t>Skirti ir išmokėti išmokas ir kompensacijas</t>
  </si>
  <si>
    <t>Socialinių išmokų ir kompensacijų gavėjų skaičius</t>
  </si>
  <si>
    <t>Išmokos mokamos pagal poreikį</t>
  </si>
  <si>
    <t>Laidojimo pašalpų gavėjų skaičius</t>
  </si>
  <si>
    <t>1 701,00</t>
  </si>
  <si>
    <t>10.01.06.</t>
  </si>
  <si>
    <t xml:space="preserve">Užtikrinti išmokų vaikams teikimą </t>
  </si>
  <si>
    <t>10.01.06.01</t>
  </si>
  <si>
    <t>Skirti ir išmokėti išmokas</t>
  </si>
  <si>
    <t>Išmokų gavėjų</t>
  </si>
  <si>
    <t>19 000,00</t>
  </si>
  <si>
    <t>10.01.06.02</t>
  </si>
  <si>
    <t>Administravimo išlaidos</t>
  </si>
  <si>
    <t>Patvirtintų pareigybių</t>
  </si>
  <si>
    <t>10.01.07.</t>
  </si>
  <si>
    <t>Užtikrinti tikslinių kompensacijų mokėjimą</t>
  </si>
  <si>
    <t>10.01.07.01</t>
  </si>
  <si>
    <t>4 180,00</t>
  </si>
  <si>
    <t>10.01.07.02</t>
  </si>
  <si>
    <t>10.01.08.</t>
  </si>
  <si>
    <t>Užtikrinti kitų išmokų ir kompensacijų teikimą teisės aktuose numatytiems asmenims</t>
  </si>
  <si>
    <t>10.01.08.02</t>
  </si>
  <si>
    <t>Užtikrinti išmokas Ginkluoto pasipriešinimo/rezistencijos/ dalyviams-kariams savanoriams</t>
  </si>
  <si>
    <t>10.01.08.03</t>
  </si>
  <si>
    <t>Kompensacijos sovietinėje armijoje sužalotiems ir žuvusiųjų šeimoms</t>
  </si>
  <si>
    <t>10.01.08.05</t>
  </si>
  <si>
    <t>Kompensacijos nepriklausomybės gynėjams nukentėjusiems nuo 1991 m. sausio 11-13 d. ir po to vykdytos SSRS agresijos</t>
  </si>
  <si>
    <t>10.01.08.07</t>
  </si>
  <si>
    <t>Skirti kitas išmokas</t>
  </si>
  <si>
    <t>10.01.09.</t>
  </si>
  <si>
    <t>Teikti socialinę paramą mokiniams</t>
  </si>
  <si>
    <t>10.01.09.01</t>
  </si>
  <si>
    <t>Skirti socialinę paramą moksleiviams</t>
  </si>
  <si>
    <t>3 255,00</t>
  </si>
  <si>
    <t>10.01.10.</t>
  </si>
  <si>
    <t>Užtikrinti lengvatinio keleivių vežimo reguliaraus susisiekimo maršrutais išlaidų kompensavimą</t>
  </si>
  <si>
    <t>10.01.10.01</t>
  </si>
  <si>
    <t>Kompensuoti keleivinio transporto vežėjų išlaidas - (negautas pajamas) už lengvatinį keleivių vežimą reguliaraus susisiekimo maršrutais</t>
  </si>
  <si>
    <t>Sutartinių įsipareigojimų vykdymas</t>
  </si>
  <si>
    <t>Apmokėtos visos pateiktos UAB „Busturas“ sąskaitos.</t>
  </si>
  <si>
    <t>10.02.</t>
  </si>
  <si>
    <t>Kurti saugią aplinką socialinės rizikos grupės vaikams, neatitraukiant jų nuo šeimos; siekti apsaugoti juos nuo smurto, valkatavimo, elgetavimo, nusikaltimų, organizuojant jų užimtumą</t>
  </si>
  <si>
    <t>Vaikų iš šeimų, patiriančių socialinę riziką, dalis nuo visų dienos centrus lankančių vaikų</t>
  </si>
  <si>
    <t>10.02.02.</t>
  </si>
  <si>
    <t>Užtikrinti vaikų dienos centrų veiklą</t>
  </si>
  <si>
    <t>10.02.02.01</t>
  </si>
  <si>
    <t>Finansuoti vaikų dienos centrų veiklos programas</t>
  </si>
  <si>
    <t>Vaikų, lankančių dienos centrus</t>
  </si>
  <si>
    <t>240,00</t>
  </si>
  <si>
    <t>Iš viso buvo finansuojama 10 vaikų dienos centrų.</t>
  </si>
  <si>
    <t>Vaikų iš šeimų, patiriančių socialinę riziką, dalis nuo visų socialinės rizikos šeimose augančių vaikų skaičiaus</t>
  </si>
  <si>
    <t>10.03.</t>
  </si>
  <si>
    <t>Didinti socialiai pažeidžiamų gyventojų gerovę ir socialinę aprėptį aprūpinant juos būstu</t>
  </si>
  <si>
    <t>Gavusiųjų paramą būstui išsinuomoti šeimų savivaldybėje</t>
  </si>
  <si>
    <t>10.03.01.</t>
  </si>
  <si>
    <t>Tinkamai eksploatuoti, remontuoti ir naudoti Savivaldybei nuosavybės teise priklausančius būstus</t>
  </si>
  <si>
    <t>10.03.01.01</t>
  </si>
  <si>
    <t>Užtikrinti skolų išieškojimą ir skolininkų iškeldinimą iš savivaldybei nuosavybės teise priklausančių būstų</t>
  </si>
  <si>
    <t>Teismo sprendimų</t>
  </si>
  <si>
    <t>10.03.01.02</t>
  </si>
  <si>
    <t>Apmokėti savivaldybei nuosavybės teise priklausančių būstų eksploatavimo, administravimo, kaupimo, nuomos mokesčio surinkimo, komunalinių mokesčių, remonto išlaidas</t>
  </si>
  <si>
    <t>Apmokėtos išlaidos</t>
  </si>
  <si>
    <t>10.03.01.04</t>
  </si>
  <si>
    <t>Apmokėti savivaldybei nuosavybės teise priklausančio nekilnojamojo turto renovacijos išlaidas</t>
  </si>
  <si>
    <t>Apmokėtos renovacijos išlaidos</t>
  </si>
  <si>
    <t>10.03.02.</t>
  </si>
  <si>
    <t>Didinti būsto prieinamumą pažeidžiamoms gyventojų grupėms</t>
  </si>
  <si>
    <t>10.03.02.02</t>
  </si>
  <si>
    <t>Įgyvendinti projektą „Socialinio būsto fondo plėtra Šiaulių miesto savivaldybėje"</t>
  </si>
  <si>
    <t>Nupirktų būstų</t>
  </si>
  <si>
    <t>2021 metais nupirkti 9 socialiniai būstai.</t>
  </si>
  <si>
    <t>10.03.02.03</t>
  </si>
  <si>
    <t>Sumokėti socialiai remtinų piliečių palūkanas už paskolas</t>
  </si>
  <si>
    <t>10.03.02.04</t>
  </si>
  <si>
    <t>Didinti savivaldybės būsto fondą</t>
  </si>
  <si>
    <t>10.03.03.</t>
  </si>
  <si>
    <t>Teikti paramą būstui išsinuomoti</t>
  </si>
  <si>
    <t>10.03.03.01</t>
  </si>
  <si>
    <t>Kompensuoti būsto nuomos ar išperkamosios būsto nuomos mokesčių dalį</t>
  </si>
  <si>
    <t>10.04.</t>
  </si>
  <si>
    <t>Kurti saugią ir patrauklią socialinę aplinką šeimoms</t>
  </si>
  <si>
    <t>Šeimų, gavusių paramą</t>
  </si>
  <si>
    <t>10.04.04.</t>
  </si>
  <si>
    <t>Skatinti jaunas šeimas</t>
  </si>
  <si>
    <t>10.04.04.01</t>
  </si>
  <si>
    <t>Užtikrinti kraitelio skyrimą šeimoms, susilaukusioms kūdikio</t>
  </si>
  <si>
    <t>Nupirktų kraitelių</t>
  </si>
  <si>
    <t>Kraiteliai yra perkami pagal poreikį.</t>
  </si>
  <si>
    <t>Kūdikiams įteiktų kraitelių dalis nuo visų per metus gimusių kūdikių</t>
  </si>
  <si>
    <t>10.04.04.02</t>
  </si>
  <si>
    <t>Kompensuoti jaunoms šeimoms dalį išlaidų įsigyjant pirmą būstą</t>
  </si>
  <si>
    <t>Šeimų gavusių kompensacijas</t>
  </si>
  <si>
    <t>11.</t>
  </si>
  <si>
    <t>Savivaldybės veiklos programa</t>
  </si>
  <si>
    <t>11.01.</t>
  </si>
  <si>
    <t>Efektyviai organizuoti Savivaldybės darbą ir užtikrinti Savivaldybės funkcijų įgyvendinimą</t>
  </si>
  <si>
    <t>Darbuotojų, dalyvavusių mokymuose, skaičius (nuo visų darbuotojų skaičiaus)</t>
  </si>
  <si>
    <t>2021 m.: Vidutiniškai kiekvienas Savivaldybės administracijos darbuotojas per 2021 m. dalyvavo daugiau kaip 2 mokymuose (2,35).</t>
  </si>
  <si>
    <t>Patvirtintų pareigybių skaičius</t>
  </si>
  <si>
    <t>283,00</t>
  </si>
  <si>
    <t>Suteiktų elektroninių paslaugų kiekis</t>
  </si>
  <si>
    <t>11 000,00</t>
  </si>
  <si>
    <t>11.01.01.</t>
  </si>
  <si>
    <t>Organizuoti  Savivaldybės veiklos funkcijų įgyvendinimą</t>
  </si>
  <si>
    <t>11.01.01.01.</t>
  </si>
  <si>
    <t>Užtikrinti Savivaldybės administracijos finansinį, ūkinį ir materialinį aptarnavimą</t>
  </si>
  <si>
    <t>Valstybės karjeros tarnautojų (pareigybių)</t>
  </si>
  <si>
    <t>Darbuotojų dirbančių pagal darbo sutartis (pareigybių)</t>
  </si>
  <si>
    <t>88,00</t>
  </si>
  <si>
    <t>Įvykdytų planuotų administracijos remonto darbų</t>
  </si>
  <si>
    <t>Organizuota mokymų/ dalyvių</t>
  </si>
  <si>
    <t>260,00</t>
  </si>
  <si>
    <t>Įsigyta kompiuterinės technikos</t>
  </si>
  <si>
    <t>31,00</t>
  </si>
  <si>
    <t>Įsigyta organizacinės technikos</t>
  </si>
  <si>
    <t>Įsigyta programinė įranga</t>
  </si>
  <si>
    <t>Įsigyta duomenų saugyklų</t>
  </si>
  <si>
    <t>Eksploatuojama kompiuterių</t>
  </si>
  <si>
    <t>Aktyvios komunikacijos Savivaldybės socialinėje paskyroje "Facebook" (sekėjai)</t>
  </si>
  <si>
    <t>15 000,00</t>
  </si>
  <si>
    <t>18 000,00</t>
  </si>
  <si>
    <t>Komunikacija socialiniuose tinkluose lietuvių/anglų kalba (Linekdin ir Instagram) (sekėjai)</t>
  </si>
  <si>
    <t>3 800,00</t>
  </si>
  <si>
    <t>11.01.01.02.</t>
  </si>
  <si>
    <t>Užtikrinti Savivaldybės tarybos ir Savivaldybės tarybos sekretoriato finansinį, ūkinį ir materialinį aptarnavimą</t>
  </si>
  <si>
    <t>Tarybos narių</t>
  </si>
  <si>
    <t>Tarybos sekretoriato darbuotojų (pareigybių)</t>
  </si>
  <si>
    <t>11.01.01.03</t>
  </si>
  <si>
    <t>Užtikrinti Kontrolės ir audito tarnybos finansinį, ūkinį bei materialinį aptarnavimą</t>
  </si>
  <si>
    <t>11.01.02.</t>
  </si>
  <si>
    <t>Tinkamai įgyvendinti valstybines (perduotas savivaldybei) funkcijas</t>
  </si>
  <si>
    <t>11.01.02.01</t>
  </si>
  <si>
    <t>Deklaruoti gyvenamąją vietą</t>
  </si>
  <si>
    <t>Užtikrintas funkcijos įgyvendinimas</t>
  </si>
  <si>
    <t>11.01.02.02</t>
  </si>
  <si>
    <t>Teikti duomenis Valstybės registrui</t>
  </si>
  <si>
    <t>11.01.02.03</t>
  </si>
  <si>
    <t>Teikti pirminę teisinę pagalbą</t>
  </si>
  <si>
    <t>11.01.02.05</t>
  </si>
  <si>
    <t>Registruoti civilinės būklės aktus</t>
  </si>
  <si>
    <t>11.01.02.06</t>
  </si>
  <si>
    <t>Tvarkyti Gyventojų registrą</t>
  </si>
  <si>
    <t>11.01.02.07</t>
  </si>
  <si>
    <t>Vykdyti valstybinės kalbos vartojimo kontrolę</t>
  </si>
  <si>
    <t>11.01.02.09</t>
  </si>
  <si>
    <t>Įgyvendinti jaunimo politiką</t>
  </si>
  <si>
    <t>11.01.02.10</t>
  </si>
  <si>
    <t>Tvarkyti archyvinius dokumentus</t>
  </si>
  <si>
    <t>11.01.02.11</t>
  </si>
  <si>
    <t>Administruoti mobilizaciją</t>
  </si>
  <si>
    <t>11.01.02.12</t>
  </si>
  <si>
    <t>Organizuoti civilinę saugą</t>
  </si>
  <si>
    <t>11.01.02.13</t>
  </si>
  <si>
    <t>Vykdyti žemės ūkio funkcijas</t>
  </si>
  <si>
    <t>11.01.02.14</t>
  </si>
  <si>
    <t>Administruoti Užimtumo didinimo programą</t>
  </si>
  <si>
    <t>11.01.02.15</t>
  </si>
  <si>
    <t>Administruoti socialines pašalpas</t>
  </si>
  <si>
    <t>11.01.02.16</t>
  </si>
  <si>
    <t>Administruoti kompensacijas</t>
  </si>
  <si>
    <t>11.01.02.17</t>
  </si>
  <si>
    <t>Administruoti socialinę paramą mokiniams</t>
  </si>
  <si>
    <t>11.01.02.18</t>
  </si>
  <si>
    <t>Administruoti socialinę globą</t>
  </si>
  <si>
    <t>11.01.02.20</t>
  </si>
  <si>
    <t>Administruoti būsto nuomos ar išperkamosios būsto nuomos mokesčių dalies kompensacijas</t>
  </si>
  <si>
    <t>11.01.02.21</t>
  </si>
  <si>
    <t>Užtikrinti informacijos apie neveiksnių asmenų būklę persvarstymą</t>
  </si>
  <si>
    <t>Komisijos priimti sprendimai kreiptis į teismą</t>
  </si>
  <si>
    <t>Komisijos inicijuoti asmens būklės peržiūrėjimai</t>
  </si>
  <si>
    <t>2021 m. komisija organizavo 13 posėdžių, inicijavo 356 asmenų būklės peržiūrėjimo bylas, išnagrinėjo 240 komisijos inicijuotų asmens būklės peržiūrėjimo bylų.</t>
  </si>
  <si>
    <t>11.01.02.22</t>
  </si>
  <si>
    <t>Organizuoti tarpinstitucinio bendradarbiavimo koordinatoriaus darbą</t>
  </si>
  <si>
    <t>11.01.02.23</t>
  </si>
  <si>
    <t>Atlikti erdvinių duomenų rinkinio tvarkymo funkciją</t>
  </si>
  <si>
    <t>Atlikta tvarkymo funkcija</t>
  </si>
  <si>
    <t>11.01.04.</t>
  </si>
  <si>
    <t>Diegti ir palaikyti Savivaldybės administracijoje modernias informacines sistemas</t>
  </si>
  <si>
    <t>11.01.04.03</t>
  </si>
  <si>
    <t>Įgyvendinti administracinės naštos mažinimo planą ir organizuoti plano įgyvendinimo stebėseną</t>
  </si>
  <si>
    <t>Įgyvendintų priemonių plano veiklų</t>
  </si>
  <si>
    <t>11.01.04.04.</t>
  </si>
  <si>
    <t>Gerinti asmenų aptarnavimo ir paslaugų kokybę Šiaulių miesto savivaldybėje</t>
  </si>
  <si>
    <t>Patobulinti viešojo administravimo paslaugų organizavimo ir teikimo procesai</t>
  </si>
  <si>
    <t>Įdiegta knygų išdavimo/grąžinimo savitarnos sistema 5 Šiaulių miesto savivaldybės viešosios bibliotekos padaliniuose. Atlikta Administracijos "vieno langelio" principu teikiamų administracinių paslaugų procesų analizė ir vertinimas.</t>
  </si>
  <si>
    <t>11.01.04.05</t>
  </si>
  <si>
    <t>Įgyvendinti projektą „Gyventojų kortelės integravimas į teikiamų paslaugų valdymą Jelgavos ir Šiaulių savivaldybėse"</t>
  </si>
  <si>
    <t>Įdiegtų sprendinių palaikymas</t>
  </si>
  <si>
    <t>Pateikta galutinė projekto ataskaita, pradėjo veikti gyventojo portalas mano.siauliai.lt</t>
  </si>
  <si>
    <t>11.01.04.08</t>
  </si>
  <si>
    <t>Įgyvendinti projektą „Bendradarbiavimas pasienio regione siekiant užtikrinti saugumą ir viešųjų paslaugų efektyvumą“</t>
  </si>
  <si>
    <t>Parengta techninė specifikacija vaizdo stebėjimo kameroms</t>
  </si>
  <si>
    <t>Parengta techninė specifikacija vaizdo stebėjimo įrenginiams, pirkimas vykdytas 2 kartus, abu kartus nutrauktas.</t>
  </si>
  <si>
    <t>11.01.05.</t>
  </si>
  <si>
    <t>Gerinti Savivaldybės administracijos materialinę – techninę bazę</t>
  </si>
  <si>
    <t>11.01.05.03</t>
  </si>
  <si>
    <t>Projektų vykdymo priežiūros ir kitos inžinerinės paslaugos</t>
  </si>
  <si>
    <t>Įgyvendintos inžinerinės paslaugos</t>
  </si>
  <si>
    <t>11.02.</t>
  </si>
  <si>
    <t>Plėtoti bendradarbiavimą su socialiniais partneriais</t>
  </si>
  <si>
    <t>Prevencinės programos įgyvendinimas</t>
  </si>
  <si>
    <t>Finansuota bendruomeninių projektų</t>
  </si>
  <si>
    <t>2021 m.: 23 nevyriausybiniai projektai
5 jaunimo projektai</t>
  </si>
  <si>
    <t>11.02.01.</t>
  </si>
  <si>
    <t>Plėtoti bendradarbiavimą su miesto teisėtvarkos institucijomis ir vietos bendruomene</t>
  </si>
  <si>
    <t>11.02.01.01</t>
  </si>
  <si>
    <t>Įgyvendinti prevencines programas</t>
  </si>
  <si>
    <t>Įgyvendinta projektų</t>
  </si>
  <si>
    <t>Pasirašytos sutartys su 6 atsakingais Šiaulių miesto savivaldybės nusikaltimų prevencijos programos projektų vykdytojais, pagal 2021 m. Šiaulių miesto savivaldybės nusikaltimų prevencijos programos veiklos planą, jiems pervestos suplanuotos lėšos, vykdyta kontrolė, visi projektai įvykdyti, 1 viešinimo projektas įvykdytas Savivaldybės administracijos Miesto koordinavimo skyriaus.</t>
  </si>
  <si>
    <t>11.02.01.02</t>
  </si>
  <si>
    <t>Įgyvendinti projektą „Civilinės saugos sistemos gerinimas Šiaulių ir Jelgavos miestuose (saugios savivaldybės koncepcija)"</t>
  </si>
  <si>
    <t>11.02.02.</t>
  </si>
  <si>
    <t>Skatinti Savivaldybės bendradarbiavimą su vietos bendruomene</t>
  </si>
  <si>
    <t>11.02.02.03</t>
  </si>
  <si>
    <t>Stiprinti bendruomeninę veiklą savivaldybėse</t>
  </si>
  <si>
    <t>Finansuota projektų</t>
  </si>
  <si>
    <t>11.02.02.05</t>
  </si>
  <si>
    <t>Skatinti nevyriausybinių organizacijų veiklą ir užtikrinti jų plėtrą</t>
  </si>
  <si>
    <t>Suorganizuota mokymų</t>
  </si>
  <si>
    <t>11.02.02.06</t>
  </si>
  <si>
    <t>Dalyvauti Šiaulių vietos veiklos grupės strategijos rengime ir  įgyvendinime</t>
  </si>
  <si>
    <t>Pasirašytos projektų finansavimo sutartys</t>
  </si>
  <si>
    <t>VVG iš viso yra patvirtinusi 14 projektų, iš viso savivaldybės tarybos sprendimai yra priimti dėl 12 projektų bendrafinansavimo. 2021 m. savivaldybės taryba pritarė 3 projektų bendrafinansavimui 1 projekto pareiškėjas kol kas nesikleipė dėl projekto bendrafinansavimo, 1 pareiškėjo paprašyta patikslinti dokumentus. Projekto finansavimui sudaromos biudžeto lėšų panaudojimo sutartys kalendoriniams metams.  2021 m. 2 pareiškėjai kreipėsi dėl dalies lėšų kompensavimo.</t>
  </si>
  <si>
    <t>11.02.02.07</t>
  </si>
  <si>
    <t>Įgyvendinti bendruomenės iniciatyvas, skirtas gyvenamajai aplinkai gerinti</t>
  </si>
  <si>
    <t>11.02.02.08</t>
  </si>
  <si>
    <t>Dalyvių</t>
  </si>
  <si>
    <t>Dalyvaujančio jaunimo veikloje procentas nuo bendro jaunimo skaičiaus</t>
  </si>
  <si>
    <t>0,60</t>
  </si>
  <si>
    <t>0,80</t>
  </si>
  <si>
    <t>11.03.</t>
  </si>
  <si>
    <t>Užtikrinti tinkamą savivaldybės lėšų planavimą ir panaudojimą</t>
  </si>
  <si>
    <t>Finansinių įsipareigojimų vykdymas</t>
  </si>
  <si>
    <t>11.03.01.</t>
  </si>
  <si>
    <t>Užtikrinti prisiimtų įsipareigojimų vykdymą</t>
  </si>
  <si>
    <t>11.03.01.01</t>
  </si>
  <si>
    <t>Vykdyti paskolų grąžinimą, palūkanų už paskolas mokėjimą, bei kitus finansinių įsipareigojimus</t>
  </si>
  <si>
    <t>Pasirašytų paskolų sutarčių</t>
  </si>
  <si>
    <t>Skolinių įsipareigojimų vykdymas</t>
  </si>
  <si>
    <t>11.03.01.02</t>
  </si>
  <si>
    <t>Organizuoti finansinių įsipareigojimų Aukštabalio multifunkcinio komplekso operatoriui vykdymą</t>
  </si>
  <si>
    <t>Sutartinių metinių įsipareigojimų vykdymas</t>
  </si>
  <si>
    <t>11.03.01.03</t>
  </si>
  <si>
    <t>Užtikrinti rinkliavos už leidimą prekiauti nuo (iš) laikinųjų prekybos įrenginių gėlėmis ir gedulo ritualo reikmenimis prie Ginkūnų ir K. Donelaičio civilinių kapinių administravimą</t>
  </si>
  <si>
    <t>11.03.01.04</t>
  </si>
  <si>
    <t>Kompensuoti keleivių vežimo vietiniais maršrutais organizavimo išlaidas</t>
  </si>
  <si>
    <t>Apmokėtos visos pateiktos UAB „Busturas“ 2021 m. sąskaitos nuostolių ir operatoriaus sąnaudų kompensavimui.</t>
  </si>
  <si>
    <t>11.03.02.</t>
  </si>
  <si>
    <t>Organizuoti civilinę saugą, naudojant direktoriaus rezervo fondo lėšas</t>
  </si>
  <si>
    <t>11.03.02.01</t>
  </si>
  <si>
    <t>Likviduoti įvykių, ekstremalių įvykių ir ekstremalių situacijų pasekmes</t>
  </si>
  <si>
    <t>Likviduotos įvykusių ekstremalių įvykių/situacijų pasekmės</t>
  </si>
  <si>
    <t>1.</t>
  </si>
  <si>
    <t>SAVIVALDYBĖS BIUDŽETAS IŠ VISO, IŠ JO:</t>
  </si>
  <si>
    <t>Savivaldybės biudžeto lėšos (SB)</t>
  </si>
  <si>
    <t>Skolintos lėšos (PS)</t>
  </si>
  <si>
    <t>Lėšos ugdymo reikmėms VB (UR)</t>
  </si>
  <si>
    <t>Lėšos valstybinėms funkcijoms VB (VF)</t>
  </si>
  <si>
    <t>Valstybės biudžeto lėšos (VB)</t>
  </si>
  <si>
    <t>Kelių priežiūros ir plėtros programos lėšos VB (KPPP)</t>
  </si>
  <si>
    <t>Valstybės investicijų projektų lėšos VB (VIP)</t>
  </si>
  <si>
    <t>Europos Sąjungos lėšos (ES)</t>
  </si>
  <si>
    <t>Įstaigos pajamų lėšos (PL)</t>
  </si>
  <si>
    <t>Lėšų likutis ataskaitinio laikotarpio pabaigoje (LIK)</t>
  </si>
  <si>
    <t>Aplinkos apsaugos rėmimo specialiosios programos lėšos SB (AA)</t>
  </si>
  <si>
    <t>Lėšų likutis iš Aplinkos apsaugos rėmimo specialiosios programos SB (AA/LIK)</t>
  </si>
  <si>
    <t>2.</t>
  </si>
  <si>
    <t>KITOS LĖŠOS IŠ VISO, IŠ JŲ:</t>
  </si>
  <si>
    <t>Valstybės biudžeto lėšos KT (VB)</t>
  </si>
  <si>
    <t>Europos Sąjungos lėšos KT (ES)</t>
  </si>
  <si>
    <t>Kitų šaltinių lėšos KT (KL)</t>
  </si>
  <si>
    <t>IŠ VISO:</t>
  </si>
  <si>
    <t>Parengti 8 techniniai projektai: 1) Švietimo, Sporto ir Kultūros skyrių pastatas Pakalnės g. 6A, Šiauliuose, projekto parengimas; 2) L. D. "Eglutė" techninis projektas; 3) Vaikų muzikos mokyklos Trakų g. 39, Šiauliuose, vėdinimo sistemos ir šildymo sistemų pertvarkymo projektas; 4) Gamybos, pramonės paskirties pastato Kauno g. 6, Šiauliai, paskirties keitimo ir pritaikymo laikino apnakvindinimo paslaugoms teikti techninis projektas ir projekto vykdymo priežiūra; 5) Šiaulių plaukimo centro "Delfinas" pastato Ežero g. 11A, Šiauliuose baseino vandens valymo įrangos pakeitimo techninis darbo projektas; 6)  Šiaulių miesto savivaldybės globos namų pastato Energetikų g. 13A, Šiauliai, projekto parengimas. 7) Šiaulių Centro pradinės mokyklos techninio projekto parengimas (projektas parengtas ir perduotas užsakovo pastaboms); 8) Dokumentų saugyklos Tilžės g. 198, Šiauliuose, techninio projekto parengimas.</t>
  </si>
  <si>
    <t>Parengti 9 techniniai projektai: 1) Ganyklų gatvės kapitalinio remonto techninis projektas; 2) Ievų gatvės kapitalinio remonto techninis projektas; 3) Plungės gatvės kapitalinio remonto techninis projektas; 4) Vingių gatvės kapitalinio remonto techninis projektas; 5) Nidos gatvės kapitalinio remonto techninis projektas; 6) Gardino gatvės Šiaulių m. kapitalinio remonto/rekonstravimo, įrengiant automobilių stovėjimo aikšteles techninis darbo projektas; 7) Rasos ir Tiesos g. Šiauliuose kapitalinio remonto/rekonstravimo projektas; 8) Infrastruktūros sutvarkymo šalia senųjų (Talkšos) kapinių techninis darbo projektas. 9) Susisiekimo komunikacijos - geležinkelio kelio industriniam parke techninis projektas.</t>
  </si>
  <si>
    <t>Dėl ribojimų sporto šakų federacijos vykdė mažiau renginių.</t>
  </si>
  <si>
    <t>ŠMSM nevykdė projekto</t>
  </si>
  <si>
    <t>Priemonės įgyvendinimo pabaiga - 2022 m.</t>
  </si>
  <si>
    <t xml:space="preserve"> Pabaiga pagal sutartį numatyta 2022-02-28</t>
  </si>
  <si>
    <t xml:space="preserve">Parengtas detalusis planas, sprendiniai taisomi pagal gautas VTPSI išvadas. </t>
  </si>
  <si>
    <t xml:space="preserve"> Parengtas detalusis planas, patvirtintas 2021-07-30  įsakymu Nr. A-1252 ir užregistruotas TPDR.</t>
  </si>
  <si>
    <t xml:space="preserve"> Žemės sklypas paimtas visuomenės poreikiams, atsiskaityta su savininku.</t>
  </si>
  <si>
    <t>Atliktas lentelės, esančios prie Geležinės lapės, perkėlimas į kitą vietą.</t>
  </si>
  <si>
    <t>Parengtas "Paminklo Tautos Laisvei Šiaulių miesto Prisikėlimo aikštėje sukūrimas" idėjos konkursas.</t>
  </si>
  <si>
    <t>Projektas įgyvendintas, 2021-12-20 perduota visa dokumentacija.</t>
  </si>
  <si>
    <t xml:space="preserve"> Dėl užsitęsusių procesų dalis projektų nepabaigti.</t>
  </si>
  <si>
    <t xml:space="preserve">Savivaldybės administracijos direktoriaus rezervo fondas, esant poreikiui, naudojamas ekstremaliųjų įvykių ar ekstremaliosios situacijos pasekmių likvidavimui. </t>
  </si>
  <si>
    <t>Viso programos priemonių</t>
  </si>
  <si>
    <t>Priemonė buvo įvykdyta pagal planą</t>
  </si>
  <si>
    <t>Priemonė neįvykdyta, t.y. nepasiekta planuota vertinimo kriterijų reikšmė</t>
  </si>
  <si>
    <t>Viso priemonių:</t>
  </si>
  <si>
    <t>Vykdant priemonę buvo pasiekta daugiau vertinimo kriterijų reikšmių nei planuota</t>
  </si>
  <si>
    <t>Vykdant priemonę buvo pasiekta vertinimo kriterijų reikšmių mažiau nei 50 %</t>
  </si>
  <si>
    <t>Vykdant priemonę buvo pasiekta vertinimo kriterijų reikšmių 50 % ir daugiau</t>
  </si>
  <si>
    <t>Per 2021 metus Savivaldybės viešoji biblioteka surengė 618 renginių (gyvai 433, virtualių 185); Šiaulių miesto kultūros centras „Laiptų galerija“ - 224 renginius (186 gyvai, 38 virtualiai); Šiaulių dailės galerija - 283 renginius (219 gyvai, 64 virtualiai); Šiaulių kultūros centras - 423 renginių (370 gyvai, 53 virtualiai); Šiaulių miesto koncertinė įstaiga „Saulė“ surengė 94 renginius (74 gyvai, 20 virtualiai). Per 2021 metus kultūros įstaigos surengė iš viso 1642 renginius, iš jų: 1282 gyvai, 360 virtualiai.</t>
  </si>
  <si>
    <t xml:space="preserve">Per 2021 m. finansuoti 27 kultūros projektai </t>
  </si>
  <si>
    <t xml:space="preserve">Per I ketv. vyko Tolygios kultūrinės raidos projektų I etapo projektų vykdytojų sutarčių pasirašymas su Lietuvos kultūros taryba.
Kofinansuota 21 I etapo Tolygios kultūrinės raidos projektas, 19 II etapo Tolygios kultūrinės raidos projektų.
Iš viso  kofinansuota 40 Tolygios kultūrinės raidos projektų. </t>
  </si>
  <si>
    <t>Parengtos programos: Sausio 13-osios, Laisvės gynėjų dienos (1), Vasario 16-osios, Lietuvos valstybės atkūrimo dienos (1), ir Kovo 11-osios, Lietuvos  nepriklausomybės atkūrimo dienos (1) minėjimų. 
Taip pat parengtos programos- Tarptautinės vaikų dienos renginio „Aš mažasis šiaulietis“ (1), Gedulo ir vilties dienos minėjimo (1) ir šiai dienai skirto koncerto programos, Joninių (1). 
III ketv. parengta 1 miesto šventės „Šiaulių dienos 785“ programa ir  2 šių valstybinių švenčių ir atmintinų dienų programos:  liepos 6-osios, Valstybės (Lietuvos karaliaus Mindaugo karūnavimo) dienos renginių, Baltijos kelio ir Laisvės  dienos renginių. IV ketv. parengtos 2 programos:  Tarptautinės pagyvenusių žmonių dienos (1) ir Kalėdų eglės įžiebimo šventės ir kalėdinių renginių (1). Iš viso  parengta 11 valstybinių švenčių, atmintinų dienų, kalendorinių ir miesto švenčių minėjimo programų.</t>
  </si>
  <si>
    <t xml:space="preserve"> Savivaldybės viešoji biblioteka įgyvendino 5 projektus; Šiaulių miesto kultūros centras „Laiptų galerija“ 3 projektus; Šiaulių kultūros centras 5 projektus; Šiaulių dailės galerija įgyvendino 8 projektus; Šiaulių turizmo informacijos centras įgyvendino 1 projektą. Iš viso  kultūros įstaigos ir Šiaulių turizmo informacijos centras  įgyvendino 22 projektus.</t>
  </si>
  <si>
    <t>Šiaulių miesto savivaldybė viešoji biblioteka sulaukė 127692 lankytojų (gyvai 117149, virtualiai 10543), Šiaulių kultūros centras – 4296, „Laiptų galerija“ – 135619 (gyvai 8392, virtualiai 127227), Šiaulių dailės galerija – gyvai 57997. Iš visokultūros įstaigos sulaukė lankytojų 325604, iš jų gyvai –  187834, virtualiai – 137770 .</t>
  </si>
  <si>
    <t xml:space="preserve"> Šiaulių miesto kultūros centras „Laiptų galerija“ - 762 dalyvių (583 gyvai, 179  virtualūs); Šiaulių dailės galerija - 6631 dalyvių (gyvai 5194, virtualūs 1437); Šiaulių kultūros centras - 9290 dalyvių (5454 gyvai, 3836 virtualiai); Šiaulių miesto koncertinė įstaiga „Saulė“ - 2677 dalyvių (2486 gyvai, 191 virtualių.  Iš viso  kultūros įstaigos sulaukė 19360 dalyvių, iš jų: 13717 gyvai, 5643 virtualūs.</t>
  </si>
  <si>
    <t xml:space="preserve"> Dėl 2021 m. sausio 1 d. įsigaliojusio specialiųjų žemės naudojimo sąlygų įstatymo užsitęsė detaliojo plano parengimo darbai.  III ketv. gauta VTPSI išvada dėl sprendinių taisymo, dėl to užsitęsė procedūros. Rengėjai siuntinėja registruotus laiškus butų, patalpų savininkams. Laiškų apie 10000.</t>
  </si>
  <si>
    <t>Finansuoti 5 festivaliai: festivalis „Resurrexit“ , tarptautinis Chaimo Frenkelio vilos vasaros festivalis, „Šiaulių Monmartro Respublika“  ir „Šiaulių kultūros naktys", tarptautinis bigbendų festivalis „Big Band Festival Šiauliai“.
Taip pat finansuotas Šiaulių dailės galerijos organizuojamas reprezentacinis šiuolaikinio meno ir mados festivalis „Virus“ .</t>
  </si>
  <si>
    <t>2021 m. nebeplanuojama įsigyti konteinerių atliekų surinkimui.</t>
  </si>
  <si>
    <t>Sosnovskio barščiai buvo naikinami – 38900 m2 plote. Buvo vykdomi intensyvūs naikinimo darbai taikant cheminį apdorojimą, iškasimą ir nupjovimą, todėl yra manoma, kad 16935 m2 plote Sosnovskio barščiai nebeataugs. Tačiau reali situacija paaiškės 2022 metų pavasarį prasidėjus augalų vegetacijai.</t>
  </si>
  <si>
    <t>Viršytas planuotas rodiklis 2 kartus. dar 26 kiemuose remontuotos avarinės duobės ir smegduobės.</t>
  </si>
  <si>
    <t>Už rodiklio pasiekimą atsikaitoma teikiant galutinį mokėjimo prašymą, užsitęsus rangos darbų vykdymui galutinis mokėjimo prašymas bus teikiamas 2022 m.</t>
  </si>
  <si>
    <t>Apmokėtos Višinskio g. ir aikštelės prie amfiteatro sąskaitos.</t>
  </si>
  <si>
    <t>Užbaigtos Kaštonų al., Centrinio parko I etapo pridavimo procedūros, pasirašytos Centrinio parko III ir IV etapų ir Didždvario parko rangos darbų sutartys ir pradėtas jų vykdymas.</t>
  </si>
  <si>
    <t>Dainų parkas.  II ir IV etapų rangos darbai baigti 2021-10-21, atlikti kadastriniai matavimai. Dainų parko III etapo rangos darbai bus pradėti 2022 m.</t>
  </si>
  <si>
    <t>2021 m.dėl vėlai skirto finansavimo ir prastų oro sąlygų neužbaigta įrengti pėsčiųjų susisiekimo infrastruktūra dešinėje Aviacijos g. pusėje, dėl prastų oro sąlygų nebaigti III etapo šaligatvio ir pėsčiųjų infrastruktūros įrengimo darbai.</t>
  </si>
  <si>
    <t xml:space="preserve"> Dėl Covid 19 pandemijos įvyko ne visos olimpiados.</t>
  </si>
  <si>
    <t xml:space="preserve">Sutvarkytas Juliaus Janonio gimnazijos gerbūvis. </t>
  </si>
  <si>
    <t xml:space="preserve"> Atlikta 70 užsakymų dėl būstų remonto darbų. Apmokamos būstų administravimo, kaupimo, techninės priežiūros paslaugos ir kt. Būsto fondą sudaro 828 būstai.</t>
  </si>
  <si>
    <t xml:space="preserve"> I-ąjį 2021 m. ketvirtį atlikti remonto darbai pagal poreikį. Suremontuotas Švietimo skyriaus patarėjo kabinetas.
II-ąjį 2021 m. ketvirtį atlikti Savivaldybės archyvo pastato stogo remonto darbai.
III-ąjį 2021 m. ketvirtį remonto darbų nebuvo atlikta. 
IV-ąjį 2021 m. ketvirtį pradėti atlikti pakalnės g. 6 A esančio pastato remonto darbai, kurie keliasi į 2022 m. I-ajį ketvirtį. Panaudota 5886,66 EUR.</t>
  </si>
  <si>
    <t xml:space="preserve"> I-ąjį 2021 m. ketvirtį įsigyta 3 nešiojamieji kompiuteriai.
II-ąjį 2021 m. ketvirtį nebuvo įsigyta kompiuterinės technikos.
III-ąjį 2021 m. ketvirtį nebuvo įsigyta kompiuterinės technikos.
IV-ąjį 2021 m. ketvirtį įsigyta 17 vienetų kompiuterinės technikos.
Viso per 2021 m. įsigyta 31 vnt. kompiuterinės technikos. (12 monitorių, 13 stacionarių kompiuterių, 6 nešiojamieji kompiuteriai)</t>
  </si>
  <si>
    <t xml:space="preserve"> I-ąjį 2021 m. ketvirtį įsigyta 2 mobilieji telefonai.
II-ąjį 2021 m. ketvirtį įsigyta 15 brūkšninio kodo skaitytuvų.
III-ąjį 2021 m. ketvirtį organizacinės technikos pirkta nebuvo.
IV-ąjį ketvirtį pirkta 17 vnt. organizacinės technikos
Iš viso per 2021 m. pirkta 34 vnt. organizacinės technikos (mobilių telefonų, stalinių telefonų, brūkšninių kodų skaitytuvų ir pan.)</t>
  </si>
  <si>
    <t>I-ąjį 2021 m. ketvirtį eksploatuojama 330 kompiuterių.
II-ąjį 2021 m. ketvirtį eksploatuojama 330 kompiuterių.
III-ąjį 2021 m. ketvirtį eksploatuojama 330 kompiuterių.
IV-ąjį 2021 m. ketvirtį eksploatuojama 349 kompiuteriai.
Per 2021 m. eksploatuojamų kompiuterių padaugėjo 19 vnt.</t>
  </si>
  <si>
    <t xml:space="preserve"> 2021 m. sekretoriato pareigybių skaičius - 8.
</t>
  </si>
  <si>
    <t>2021 m. funkcijos įgyvendinimas užtikrinamas pagal poreikį.</t>
  </si>
  <si>
    <t xml:space="preserve"> Dainų parko vizualinio dendrologinio ženklo įrengimas buvo įgyvendinamas taip:
1. Atliktas rinkos tyrimas: Buvo pateikta septynioms apželdinimo firmoms apklausa pasiūlymams.
2. Atnaujinta ir patvirtinta projektavimo užduotis Nr. AUV-41 (2021-08-20).
3. Paruošti nauji pirkimo dokumentai, šiuo metu vykdomos naujo pirkimo ne per CPO procedūros. 2021-10-21 įvyko pirmas Pirkimų komisijos posėdis.
Miesto ūkio ir aplinkos kuruojamas projektas vykdomas. Apmokėjimas numatytas IV ketvirtį. Už 2021 m. Miesto ūkio ir aplinkos vykdomas projektas įvykdytas (apie 80%) mažos apimties projektas Poilsio gatvės aplinkos kraštovaizdžio sutvarkymas. Išvalytas vandens telkinys, nulėkštinti šlaitai, pašalintos atliekos, iškirsti savaimę suaugę krūmynai, išsaugoti vertingi medžiai, pašalinti kelmai, išlyginta teritorija. Dėl atvėsusių orų nebuvo sėta žolė.</t>
  </si>
  <si>
    <t>Per II ketv. pasirašyta 1 paskolos sutartis.
Per 2021 m. pasirašyta naujai 1 paskolos sutartis , o turimos sutartys 6.</t>
  </si>
  <si>
    <t xml:space="preserve"> Paskolos grąžintos pagal faktą.</t>
  </si>
  <si>
    <t>Šiuo metu TPDRIS-e vyksta detaliojo plano koregavimo derinimo procedūros.  Aiškinamasi dėl NŽT nepritarimo sprendiniams</t>
  </si>
  <si>
    <t>2021-11-22 NŽT antrą kartą pateikė nepritarimą detaliajam planui, pateikdama kitus nederinimo motyvus. Kreiptasi dėl TPĮ 18 str. 7 d. išaiškinimo į AM. Gavus atsakymą, patikslinti planavimo tikslai. TPDRIS sistemoje vyks pakartotinis derinimas ir viešinimas.</t>
  </si>
  <si>
    <t>Detalusis planas (2021-05-12 sutartis Nr. SŽ-581) parengtas, patvirtintas 2021-10-12 įsakymu Nr. A-1663.</t>
  </si>
  <si>
    <t xml:space="preserve"> Darbai atliekami pagal poreikį. Buvo planuota matuoti ir pagal Rėkyvos  kvartalo Projektą sklypus. Kadangi procesas sustabdytas NŽT, 40 sklypų nepamatuoti - keičiamas sprendinys. Lėšos sutaupytos dėl poreikio nebuvimo.</t>
  </si>
  <si>
    <t>Lėšos  sutaupytos dėl poreikio nebuvimo.</t>
  </si>
  <si>
    <t>Lėšos nepanaudotos dėl poreikio nebuvimo. Nebuvo gauta kultūros paveldo objektų valdytojų  prašymų dėl kultūros paveldo objektų vertingųjų savybių nustatymo.</t>
  </si>
  <si>
    <t>Atlikti duomenų bazės programinės įrangos atnaujinimai: 1) Programinės įrangos GeoMap 2021 atnaujinimas į GeoMap 2022; 2) GIS GeoMap atnaujinimas į naujausią GIS GeoMap 2022 kartu su AutoCad Map 3D 1 metų prenumeratos pratęsimu. Programinės įrangos "Akis Pro" įmonės tinklinės licencijos atnaujinimas su metiniu programinės įrangos techniniu palaikymu.</t>
  </si>
  <si>
    <t>Lėšos sutaupytos dėl poreikio nebuvimo.</t>
  </si>
  <si>
    <t>Parengta Susisiekimo komun. ir kt. naujos statybos, rekonstr. ir papr. remonto Talkšos ežero pakrantės ter., techn. proj. A laidos bendroji ekspertizė. Atlikta Dainų tako ir jo prieigų kapitalinio remonto projekto parengimo projektinių pasiūlymų parengimas; techninės užduoties ir paraiškų prisijungimo sąlygoms ir spec. reikalavimams gauti paslauga. Techninio projekto A laidos parengimas Susisiekimo komunikacijų ir kt. naujos statybos, rekonstr. ir papr. remonto Talkšos ežero pakrantės teritorijoje; P. Višinskio g. rekonstravimo projekto vykdymo priežiūra; Dainų parko pėsčiųjų ir dviračių tako supaprastintas statybos (II-IV etapo) projekto tikslinimas. Parengtas ir  2021-12-16 įsakymu Nr. A-2022 patvirtintas Dainų tako ir jo prieigų kapitalinio remonto projektas.</t>
  </si>
  <si>
    <t>Dėl užsitęsusių projekto pirkimų procedūrų iki 2021-12-31 nepabaigti šie projektai: 1) Šiaulių lopšelio – darželio „Salduvė“ (Vilniaus g. 38D, Šiauliai) pastato energinio efektyvumo didinimo projektas; 2)  Šiaulių lopšelio – darželio „Žiburėlis“ (Darbininkų g. 30, Šiauliai) pastato energinio efektyvumo didinimo projektas; 3) Šiaulių lopšelio – darželio „Žiogelis“ (Dainų g. 11, Šiauliai) pastato energinio efektyvumo didinimo projektas; 4) Šiaulių menų mokyklos (Krymo g. 32-1, Šiauliai) pastato energinio efektyvumo didinimo projektas; 5)  Šiaulių dainavimo mokyklos „Dagilėlis“  projekto parengimas.
Kolumbariumo Donelaičio kapinėse projekto parengimo pirkimai organizuoti 3 kartus, tačiau nei vieną kartą neįvyko, nes niekas nepateikė pasiūlymų. 2022 m. numatytas vykdyti rinkos tyrimas.</t>
  </si>
  <si>
    <t>Priemonės veiklos: 1. Pagamintas ir viešintas reklaminis vaizdo klipas, pristatantis edukacinį stalo žaidimą „Šiaulių miesto istorijos“. 2. Įgyvendintos Šiaulių miesto turizmo išteklių, naujienų, renginių, įvykių viešinimo kampanijos (4) turizmo, laisvalaikio ir kultūros .lt, pagrindiniuose Latvijos naujienų portaluose straipsnius perskaitė 20582 vartotojai), pagrindiniuose Estijos naujienų portaluose straipsnius perskaitė 20505 vartotojai). 3. Įgyvendinta Šiaulių miesto reprezentacinių renginių anonsinio klipo reklamos kampanija Youtube (24700 peržiūrų)  ir Facebook soc. tinkluose - 1 vnt. 4. Sukurti ir transliuoti vaizdo klipai „Šiauliai šviečia. Vasara“,  „Šiauliai šviečia. Ruduo“ ir „Šiauliai šviečia. Žiema“ 140 kartų po 12 sek. per Lietuvos nacionalinį radiją ir televiziją laikotarpiu nuo 2021-07-05 iki 2021-12-17. 5. Nufotografuoti 4 Šiaulių miesto reprezentuojantys 2021 m. renginiai („Bažnyčių naktys“, „Šiaulių dienos 785“, Europos regbio čempionatas, Kalėdų eglės įžiebimo šventė). 6. Nufilmuoti 4 Šiaulių miestą reprezentuojantys filmukai po1-3 min. „Turizmo paslaugų reprezentacija“, „Reprezentacinės Šiaulių miesto erdvės“, „Žiemos šventės ir renginiai Šiauliuose“ (2 vnt.). 7. Suorganizuotas V Šiaulių krašto turizmo forumas „Turizmo verslas: galimybės ir sėkmės istorijos“ 2021-11-26 Zoom platformoje. Skaityti 3 pranešimai, pristatytos 8 turizmo verslo sėkmės istorijos, forume dalyvavo 11 dalyvių, forumą stebėjo 713 asmenų. 8. Įsigyta reprezentacinių vizualinių priemonių (pieštukai, rašikliai, skėčiai, puodeliai ir kt.) ir reprezentacinė apranga TIC darbuotojams darbui parodose.</t>
  </si>
  <si>
    <t xml:space="preserve"> Surengta miesto šventė „Šiaulių dienos“, kuri įvyko rugsėjo 10, 11 d.: parengta šventės programa, skurtas šventės įvaizdis ir šventės viešinimo planas, suorganizuotas šventinis prekymetis, festivalis „Rudens mozaika“, šventiniai koncertai „Šiauliai šviečia“ ir „Geltona banga“, parengta meninio apšvietimo instaliacija „Šiauliams 785“ Žuvininkų (Salduvės) piliakalnyje, suorganizuotas meninės vizijos projektas „Magiškas parkas“ Dainų parke, du Lietuvos nacionalinio operos ir baleto teatro operos ant ratų „Tarnaitė ponia“ pasirodymai, suorganizuota Šiaulių miesto garbės piliečio inauguracijos ceremonija. Šventė vyko Vilniaus g. pėsčiųjų bulvare, Varpo g., Prisikėlimo aikštėje, Centrinio parko estradoje, Dainų parke, Žuvininkų (Salduvės) piliakalnyje. Miesto šventėje dalyvavo 744 dalyviai, įvyko 60 renginių, juose apsilankė 46250 žiūrovų ir lankytojų.</t>
  </si>
  <si>
    <t>2021-06-23 surengta Joninių šventė Šiaulių mieste (1). Šventė vyko Kaštonų alėjoje, skvere prie Šiaulių miesto savivaldybės, Saulės laikrodžio aikštėje, Talkšos ežero paplūdimyje. Vyko žaidimas „Joninės mieste“, koncertai, muzikos grupių pasirodymai. Joninių šventėje dalyvavo 113 dalyviai ir organizatoriai, joje apsilankė 3000 lankytojų. 2021-12-04 surengta Kalėdų eglės įžiebimo šventė. Vyko kalėdinė prekyba, Prisikėlimo aikštėje ir skvere prie Šiaulių miesto savivaldybės surengta kolekcininko Petro Kaminsko kalėdinių tarpukario atvirukų paroda, įvyko šventinis renginys-muzikinė pasaka „Kalėdų berniukas“, grupės „Lemon Joy“ koncertas. 2021-12-10 surengta Rėkyvos mikrorajono kalėdinės eglės žiebimo šventė. 2021-12-31 surengtas naujametis fejerverkas ant PC „Saulės miestas“ stogo. Pasiruošta Trijų karalių dienai 2022-01-06.</t>
  </si>
  <si>
    <t xml:space="preserve"> Šiaulių miesto kultūros centras „Laiptų galerija“ surengė 44 profesionalios dailės parodas, 99 edukacijas, 38 etninės kultūros koncertus, 20 profesionaliosios muzikos koncertų ir teatro renginių,  įvykdė projektą „Žydų kultūros mėnuo“ (5 projektai).
Šiaulių dailės galerija įgyvendino medijų meno festivalį „Enter“; edukacinę programą vaikams ir jaunimui; vaizduojamojo meno parodų ciklą „Naujas Lietuvos menas“ (3 projektai). 
Šiaulių miesto koncertinė įstaiga „Saulė“ surengė koncertą Motinos dienai (1), „Saulės vasaros koncertus“ (23), 1 virtualų koncertą Medicinos darbuotojų dienai, koncertą „Amžinoji šviesa“ (1), skirtą popiežiaus Jono Pauliaus II vizitui Lietuvoje atminti.  „Pasaulio muzikos spalvos“ (3 koncertai), „Muzikiniai rudenys 2021“ (4 koncertai), „Meilės spalvos“ (1 koncertas), „Kalėdinės muzikos valanda“ (1 koncertas) (7 projektai).  
Savivaldybės viešoji biblioteka įvykdė tęstinius projektus  „Kūrybinės edukacijos bibliotekoje“, „Vasara bibliotekoje: kūrybiškai ir linksmai“,  „Nacionalinė bibliotekų savaitė 2021“, „Karaokė asorti“, „Etniniai Šiauliai: kurk, keliauk, pažink“, „Biblioteka arčiau namų 2021“ (6 projektai). 
Šiaulių kultūros centras surengė projektą „Edukacinių užsiėmimų programa „Sukas, rieda metų ratas „Susitikimo vieta – Prisikėlimo aikštė“, Respublikinis mėgėjų teatrų festivalis  „Pulsas“, „Audiovizualinių kūrinių ciklas“, „Šiaulių kultūros centro gimtadienio renginys“ (5 projektai).
Šiaulių turizmo informacijos centras įvykdė 24 priemones (I-IV ketv.): atnaujino (LT ir LV kalbomis) ir papildomomis (EN ir RU kalbomis) išleido žaidimą kalendorių „Šiauliai“ (1 vnt.); sukūrė 3 naujus ACTION BOUND sistemoje maršrutus ir parengė jų pristatymo priemones -  vaizdo klipus (3  vnt.); įvykdė internetinės svetainės www.visitsiauliai.lt „Google Ads“ reklamos kampaniją (1 vnt.); įvykdė miesto turizmo išteklių viešinimo kampaniją Baltijos kelionių portale www.travelblog.lv (1 vnt.); suorganizavo informacinį turą Baltijos kelionių portalo www.travelblog.lv žurnalistui (1 vnt.); pagamino reklaminį klipą apie poilsio su šeima Šiauliuose galimybes (1 vnt.); Įvykdė Šiaulių TIC organizuojamų ekskursijų reklamą savaitraštyje „Etaplius“ ir socialiniame tinkle „Facebook“ (1 vnt.); vykdė internetinės svetainės www.visitsiauliai.lt „Google Ads“ reklamos kampaniją – 1 vnt.; įvykdė Šiaulių miesto turizmo išteklių viešinimo kampaniją Baltijos kelionių portale www.travelblog.lv (1 vnt.); įvykdė rinkodaros-viešųjų ryšių akciją „Šiauliai sveikina“. Į 60 Lietuvos mokyklų išsiuntinėtas sveikinimas su mokslo metų pradžia ir stalo žaidimas „Šiauliai“ (po 20 vnt.) – 1 vnt.; atliko Šiaulių miesto turizmo internetinės svetainės www.visitsiauliai.lt turinio valdymo sistemos tobulinimo darbus (1 vnt.); įvykdė Šiaulių TIC organizuojamų ekskursijų reklamą savaitraštyje „Etaplius“ ir socialiniame tinkle „Facebook“ (1 vnt.); įvykdė internetinės svetainės www.visitsiauliai.lt „Google Adwords“ reklamą (1 vnt.); atnaujino ir išleido kelionių su šeima gidą „Šiauliai - su meile šeimai“ (LT - 2000 vnt., LV - 500 vnt., RU - 300 vnt.); parengė ir išleido lankstinuką „Baltų kelias“ (LT, LV, EN bendrai - 3000 vnt.);  parengė ir išleido atvirlaiškį „Baltų kelias“ (LT, LV, EN bendrai - 500 vnt.);  suorganizavo informacinį turą Tartu (Estija) turizmo įmonių atstovams (117 dalyvių) ir kt. Iš viso per 2021 m. kultūros įstaigos įgyvendino 26 projektus, Šiaulių turizmo informacijos centras įvykdė 24 priemones - 50 projektų / priemonių.
Per III ketv. kofinansuotos 7 papildomos kultūros priemonės už 5,5 tūkst. Eur. Per IV ketv. finansuota 1 papildoma kultūros priemonė už 0,4 tūkst. Eur.  Iš viso per 2021 metus kofinansuotos 8 papildomos kultūros priemonės už 5,9 tūkst. Eur.</t>
  </si>
  <si>
    <t>Šiaulių miesto kultūros centras „Laiptų galerija“ surengė 53 parodų, iš  jų: 3 parodas gyvai, 7 virtualiai. Šiaulių dailės galerija - 5 parodas (4 gyvai, 1 virt.); Šiaulių kultūros centras - 1 parodą skvere prie Šiaulių miesto savivaldybės, skirtą Laisvės gynėjų dienai, paminėti. Iš viso I ketv. surengta 16 parodų, iš jų: 8 gyvai, 8 virtualios parodos.
II ketv. Šiaulių miesto kultūros centras „Laiptų galerija“ surengė 13 parodų, iš jų: 7 parodas gyvai, 6 virtualiai. Šiaulių dailės galerija - 9 parodas gyvai. Šiaulių kultūros centras - 2 parodas skvere prie Šiaulių miesto savivaldybės: „Šiaulių sportui - 100“ ir J. Plukytės „Aiškūs žodžiai“. Iš viso II ketv. surengtos 24 parodos, iš jų: 18 gyvai, 6 virtualios parodos.
Per III ketv. Šiaulių miesto kultūros centras „Laiptų galerija“ surengė 13 parodų, iš jų: 8 gyvai ir 5 virtualiai. Šiaulių dailės galerija surengė 5 parodas gyvai. Iš viso per III ketv. surengta 18 parodų, iš jų - 13 parodų gyvai ir 5 parodos virtualiai.
Per IV ketv. Šiaulių miesto kultūros centras „Laiptų galerija“ surengė 8 parodas gyvai; Šiaulių dailės galerija surengė 8 parodas gyvai; Šiaulių kultūros centras 2 parodas gyvai. Iš viso IV ketv. surengta 18 parodų gyvai. Per 2021 m. kultūros įstaigos surengė 76 parodas, iš jų: 57 gyvai ir 19 virtualiai.</t>
  </si>
  <si>
    <t>Šiaulių miesto kultūros centras „Laiptų galerija“ sulaukė 42661 žiūrovų (33661 gyvai, 9000 virtualiai); Šiaulių kultūros centras - 104272 gyvai; Šiaulių miesto koncertinė įstaiga „Saulė“ -  126569 žiūrovų (20490 gyvai, 106079 virtualiai). Iš viso kultūros įstaigose sulaukta 273502 žiūrovų, iš jų: 158423 apsilankė gyvai, 115079 virtualiai.</t>
  </si>
  <si>
    <t>Per I ketv. Turizmo informacijos centras sulaukė 17747 interneto svetainės lankytojų (buvo fiksuojami tik interneto svetainės www.visitsiauliai.lt lankytojai, nes gyvai dėl pandemijos turistai aptarnaujami nebuvo).
Per II ketv. Turizmo informacijos centras sulaukė 27873 lankytojų. Iš jų: Turizmo informacijos centro lankytojų  ir  „Baltų kelio“ centro lankytojų gyvai 1068,  interneto svetainės www.visitsiauliai.lt lankytojai 26805.
Per III ketv. Turizmo informacijos centras sulaukė 50545 lankytojų. Iš jų: Turizmo informacijos centro ir  „Baltų kelio“ centro lankytojų gyvai 6508, interneto svetainės www.visitsiauliai.lt lankytojai 44037.
Per IV ketv. Šiaulių turizmo informacijos centras sulaukė 38101 lankytojų. Iš jų Turizmo informacijos centro ir  „Baltų kelio“ centro lankytojai gyvai 4408,  interneto svetainės www.visitsiauliai.lt lankytojai 33693. Iš viso Turizmo informacijos centras sulaukė 134266 lankytojų, iš jų  Turizmo informacijos centro ir „Baltų kelio“ centro lankytojai gyvai 11984 gyvai ir www.visitsiauliai.lt 122282.</t>
  </si>
  <si>
    <t>Dėl COVID-19 per I ketv. Šiaulių turizmo informacijos centras neorganizavo ekskursijų gyvai.
Per II ketv. Šiaulių turizmo informacijos centro organizuojamose ekskursijose dalyvavo 252 dalyviai.
Per III ketv. Šiaulių turizmo informacijos centro organizuojamose ekskursijose dalyvavo 1063 dalyviai. 
Per IV ketv. Šiaulių turizmo informacijos centro organizuojamose ekskursijose dalyvavo 543 dalyviai.
Iš viso Šiaulių turizmo informacijos centro organizuojamose ekskursijose dalyvavo 1858 dalyviai.</t>
  </si>
  <si>
    <t xml:space="preserve">Per 2021 m. atlikti šie darbai: pastatytas 3 aukštų priestatas ir pilnai įrengtas su 3 kambariais repeticijų studijoms orkestrams ir grimo kambariais; pastatytas scenos išplėtimo priestatas (neįrengta senos priestato sienų vidinė apdaila ir grindys. Šie darbai perkelti į 2022 m. prie numatytų scenos išplėtimo ir visos salės akustinių optimizavimo darbų); modernizuota salės vėdinimo, šildymo ir vėsinimo sistema, atsisakant salės šildymo radiatoriais ir pakeičiant šildymą karštu oru. Papildomai įrengta salės vėsinimo sistema vasaros metu. Naujai įrengtos šildymo ir vėsinimo sistemos pilnai automatizuotos. Iki 2022 m. vasario 1 d. planuojama pagaminti ir sumontuoti visus baldus naujai pastatytai trijų aukštų priestato daliai. Iki 2022 m. gegužės 31 d. planuojama įsigyti naują garsinimo, apšvietimo įrangą su visa pakėlimo mechanizacija. Planuojama atlikti visos salės priešgaisrinės įrangos, gaisro aptikimo įrangos, dūmų šalinimo įrengimo sistemos darbus. Parengtas naujas techninis projektas salės scenos išplėtimo ir scenos erdvės, iki žiūrovų salės sėdimų vietų pirmos eilės, akustinės dalies projektas (sienų, lubų konstrukcinė ir akustinė apdaila). 
</t>
  </si>
  <si>
    <t>Per 2021 m atlikti pastato fasado remonto darbai, šviestuvų montavimas, vidaus patalpų sienų ir langų dekoravimas, įsigyta ir sumontuota įvairi biuro ir klientų aptarnavimo salės įranga, ūkinės prekės ir paslaugos.  Per 2021 m. remonto darbams atlikti, prekėms ir paslaugoms įsigyti panaudota 23,7 tūkst. Eur.</t>
  </si>
  <si>
    <t>ES lėšos gautos didėjančia tvarka pagal sutartį. Todėl 2021 m. gauta ir panaudota didesnė suma, negu buvo numatyta pagal sąmatą.</t>
  </si>
  <si>
    <t xml:space="preserve">Vykdant projektą: 1. Suorganizuoti mokymai gidams ir visiems, besidomintiems baltų kultūra. Nuotoliniai mokymai transliuoti FB ir Youtube platformose. Įvyko 16 paskaitų. Dalyvių skaičius – 421 asm. 2. Suorganizuotas kelionių įspūdžių konkursas. Įtraukti objektai iš 72 Lietuvos ir Latvijos savivaldybių. Vyko 15 savaičių (2021-06-07 – 2021-09-22). Gauta apie 700 nuotraukų. Specialiais prizais apdovanoti 142 autoriai. 3. Pasisemta gerosios patirties iš tarptautinio kultūros kelio „Vikingų kelias“. Įvyko kelionė į Norvegiją. Susitikta su „Vikingų kelio“ asociacijos Prezidentu, nariais, skaityti pranešimai apie „Baltų kelio“ projektą, veiklas, tikslus. Vykta apžiūrėti „Vikingų kelio“ lankytinų objektų, susipažinta su vykdomomis veiklomis. 4. Projekto animuotas video, straipsniai publikuoti Delfi portale. 5. Projektas pristatytas parodoje „Rinkis prekę lietuvišką“. 6. Projektas viešintas FB socialiniame tinkle ir kt. 7. Dalyvauta partnerių susirinkimuose. 8. Įsigyta edukacinių priemonių. 9. Vykdytas projekto finansinis auditas. Šioms veikloms  panaudota iš viso 7424,17 Eur. </t>
  </si>
  <si>
    <t>Lėšos neįsisavintos, nes dėl COVID-19 situacijos Lietuvoje ir Latvijoje kolegialiai buvo pakeisti, koreguoti visų projekto partnerių darbai ir veiklos; veiklos nukeltos į 2022 m.</t>
  </si>
  <si>
    <t>Per 2021 m. vykdydamas  projektą LLI-464 Turizmo informacijos centras prisidėjo ir dalyvavo kartu su projekto partneriais rengiant Galimybių studiją, kuri buvo parengta 2021 m. spalio mėn. Per II ketv. parengti viešųjų pirkimų dokumentai, įsigyta turistų gidų sistema. Per III ketvirtį: įsigyta kompiuterinė įranga su priedais (2 vnt.), suorganizuotas projekto partnerių susitikimas Jelgavoje (Latvija) ir jame dalyvauta. Per IV ketv. įrengta lankytojų srautų skaičiavimo sistema. Dėl COVID-19 vėlavo vadovaujančiojo projekto partnerio - Jelgavos miesto savivaldybės - darbai. Pavėluotai parengta Galimybių studija, be jos nebuvo galima kurti vizualinio identiteto koncepcijos, formuoti maršrutų, organizuoti susirinkimų ir vykdyti kitų veiklų, kurios nukeltos į 2022 m.</t>
  </si>
  <si>
    <t>Parengta  Europos paveldo renginių ciklo renginių programa; vykdyta renginių viešinimo kampanija (reklaminio skydelio talpinimas interneto svetainėse, plakatų spausdinimas; įsteigti prizai dalyviams). 2021 m. rugsėjo 17-26 d.  įvyko iš viso 19 Europos paveldo dienų renginių „Įtraukiantis paveldas“ (ekskursijos, mokslinis pranešimas, edukacinės veiklos ir  užsiėmimai „Baltų centre“, pažintinis pasivaikščiojimas, viktorinos, parodos, „Vėlyvi pusryčiai“ istorinėje „Valerijono“ vaistinėje  ir kt.). Juose Šiauliuose  dalyvavo 1498 dalyviai (lankytojai), iš jų 416 moksleivių. Organizatoriai: Šiaulių miesto savivaldybė ir Šiaulių turizmo informacijos centras.</t>
  </si>
  <si>
    <t>Sukurtas religinio turizmo produktas, apimantis Šiaulių miesto ir Kelmės, Raseinių, Šiaulių rajonų turizmo išteklius ir kuris remiasi pagrindiniais trimis dėmenimis: religiniais ištekliais, turizmo specifika ir rinkodara. 1. Parengtas ir išleistas leidinys „Malonių kelias. Via Gratarium“ lietuvių ir anglų kalbomis. 2. 2021-06-26 suorganizuotas piligriminis žygis „Kryžių kalnas – Šiauliai (VU ŠA Botanikos sodas)“, dedikuotas Šeimų ir šv. Jokūbo metams, šv. Apaštalų Petro ir Povilo garbei, jame dalyvavo 10 asmenų. 3. 2021 m. liepos 23-25 d. suorganizuotas renginys „Bažnyčių naktys“ – keturių savivaldybių jungtinis renginių ciklas, kviečiantis užsukti į bažnyčias ir keliauti po Kelmės, Raseinių, Šiaulių rajonus ir Šiaulių miestą. Tai pirmą kartą Lietuvoje organizuojamas renginys, kuriame dalyvavo 168 asmenys ir 1187 lankytojų. Šiaulių mieste liepos 23–25 dienomis įvyko penki koncertai keturiose miesto bažnyčiose ir  7 nemokamos ekskursijos, specialiai sukurtos „Bažnyčių naktims“, kuriose dalyvavo 345 asmenys. 4. 2021-09-08 suorganizuotas infoturas po Šiaulių miesto, Kelmės ir Raseinių rajonų savivaldybes, kurio metu žurnalistai iš delfi.lt, 15min.lt portalų, LRT radijo, žurnalo „Kelinės ir pramogos“ savaitraščio „Savaitė“, „Ūkininko patarėjo“ ir kt. domėjosi esamais ir naujais religinio turizmo objektais šiuose regionuose. Infoture dalyvavo 20 žurnalistų ir 10 turizmo specialistų. 5. Įsigyta 12 vnt. šv. Jokūbo kelio ženklų.</t>
  </si>
  <si>
    <t>Vyksta projektavimas.</t>
  </si>
  <si>
    <t>Paslauga įsigyta pigiau nei planuota. APVA pagal dotacijos sutartį sumoka 70 proc. nuo atliktų paslaugų vertės.</t>
  </si>
  <si>
    <t>Kokybiškos, plėtojančios gamtosaugines temas knygos yra pabrangusios. Nevyko Gyvūnų apsaugos dienos renginiai, kuriems anksčiau buvo perkami leidiniai kaip dovanos.</t>
  </si>
  <si>
    <t>Projektas pradėtas įgyvendinti 2021 m. spalio 11 d.Įsigyta 1000 vnt. kibirėlių maisto atliekų rūšiavimui ir 500 vnt. maišelių maisto atliekoms, kurie išdalinti 8 daugiabučių gyventojams (apie 1000 butų).</t>
  </si>
  <si>
    <t>Sutaupyta, nes rangos darbai įsigyti pigiau nei planuota.</t>
  </si>
  <si>
    <t>Iš šios priemonės panaudota gatvių apšvietimui 1414 tūkst. Eur (prižiūrima apie 13600 vnt. šviesos taškų (šviestuvų), 48 vnt. šviesoforų postai), 576 tūkst. Eur apmokėta už elektros energiją; miesto aplinkos tvarkymui panaudota 1902,4 tūkst. Eur, iš jų: gatvių valymui 757,2 tūkst. Eur, šaligatvių priežiūrai 651,5 tūkst. Eur,  žaliųjų plotų priežiūrai (šienavimui) 276,9 tūkst. Eur, sanitariniam miesto tvarkymui (įskaitant garažų teritorijų sutvarkymą) 169,7 tūkst. eur, medžių kirtimui (nukirsta 551 vnt.) 32,1 tūkst. Eur.  Miesto gėlynų priežiūrai panaudota 217,9 tūkst. Eur, kapinių priežiūrai (su atliekų iš kapinių išvežimu ir vandens tiekimu) 142,9 tūkst. Eur, benamių gyvūnų gaudymui (išlaikymui) panaudota 36,7 tūkst. Eur.</t>
  </si>
  <si>
    <t>Kelių priežiūros ir plėtros programos 310,0 tūkst. Eur lėšos panaudotos: 150 tūkst. Eur gatvių su žvyro danga priežiūrai; 94,8 tūkst. Eur kelių dangos ženklinimui; 30,2 tūkst. Eur pėsčiųjų perėjų kryptinio apšvietimo įrengimui (įrengtas 10 vietų) ; 35 tūkst. Eur eismo reguliavimo ir saugaus eismo priemonių įrengimui (10 saugumo kalnelių). Savivaldybės biudžeto lėšos komunaliniam ūkiui panaudotos: 609,2 tūkst. Eur duobių tvarkymui ir paprastiems šaligatvių tvarkymo darbams; 142,1 tūkst. Eur parkomatų priežiūrai (administravimui); 3,8 tūkst. Eur inkasacijai; 80,5 tūkst. eur apmokėjimui už paviršines nuotekas; 5 tūkst. Eur už vandenį iš kolonėlių ir miesto fontanuose; 31 tūkst. eur už renginių sanitarinį aptarnavimą (bio-wc); 3,46 tūkst. Eur už vienišų (neatpažintų) asmenų palaidojimą; 16,2 tūkst. Eur už palaikų palaikymą šaldytuvuose ir pervežimą; 60,2 tūkst. Eur už vaikų žaidimų aikštelių priežiūrą, 16,4 tūkst. Eur kitos nenumatytos išlaidos (tame skaičiuje kompensacijos gyventojams už namo numerių keitimą dėl pakeistų gatvių pavadinimų) .</t>
  </si>
  <si>
    <t>Vaikų žaidimų aikštelės įrengtos naujose vietose, vykdant Talkšos ežero prieigų sutvarkymo bei Centrinio parko sutvarkymo projektus.</t>
  </si>
  <si>
    <t>AUPS skirtos 25 tūkst. eur lėšos vaikų žaidimų aikštelei liko nepanaudotos.</t>
  </si>
  <si>
    <t>Stoginės įrengtos 2021 m. gruodžio mėn., tačiau už jų įrengimą skirtos lėšos liko nepanaudotos (panaudota ir apmokėta bus 2022 m.), nes rangovas aktus pateikė 2022 metais.</t>
  </si>
  <si>
    <t>Metų pradžioje buvo planuota įsisavinti visas lėšas per II ketv., tačiau balandžio mėn. baigėsi sutartis su Rangovu, nauja sutartis pasirašyta gegužės mėn. su nauju Rangovu, todėl darbai persikėlė į III ketv. Išnaudojus metų pradžioje planuotas 100,0 tūkst. Eur, paprašyta kaip papildomas poreikis dar 50,0 Eur. Kadangi lėšos skirtos rudenį, Rangovas nespėjo atlikti visų darbų, todėl liko nepanaudotos lėšos.</t>
  </si>
  <si>
    <t>Likę 5,5 tūkst. Eur sutaupyti.</t>
  </si>
  <si>
    <t>2021 m. atlikti darbai: vidaus kelių įrengimas; elektros tinklų (apšvietimo) įrengimas, sklypo sutvarkymas</t>
  </si>
  <si>
    <t>Likę 28,7 tūkst. Eur perkelti į 2022m.,dėl medžių sodinimo, nes medžius tikslinga sodinti pavasarį ir jie bus panaudoti 2022 m.</t>
  </si>
  <si>
    <t>Draugystės pr. kvartale įrengtos vaikų žaidimų aikštelės, mažoji architektūra, įrengtos automobilių stovėjimo aikštelės, takai. Atlikti P. Višinskio g. (nuo Vytauto g. iki Stoties g.) baigiamieji darbai, įrengti takai, mažoji architektūra.</t>
  </si>
  <si>
    <t>Rangos darbai abiejuose objektuose (Draugystės kvartalas ir P. Višinskio g. (nuo Vytauto g. iki Stoties g.) fiziškai baigti, tačiau dar nėra gautos visos sąskaitos, todėl nėra pilna apimtimi atsiskaityta už atliktus darbus. Lėšų nepanaudojimo priežastis dėl rangos darbų ir pridavimo procedūrų vėlavimo, sąskaitų už atliktus darbus neišrašymo.</t>
  </si>
  <si>
    <t>Rodiklis skaičiuojamas pateikiant galutinį mokėjimo prašymą, dėl darbų pridavimo procedūrų užsitęsimo projekto veiklų pabaiga ir galutinio mokėjimo prašymo pateikimas persikėlė į 2022 m.</t>
  </si>
  <si>
    <t>Fiziniai rangos darbai baigti abiejuose objektuose (aikštelė už amfiteatro ir P. Višinskio g. nuo Vilniaus g. iki Vytauto g.), tačiau dar nėra pilnai atsiskaityta už atlikus darbus. Darbų pridavimo procedūros ir sulaikytų pinigų išmokėjimas persikėlė į 2022 m. Lėšų nepanaudojimo priežastis - dėl rangos paslaugų vėlavimo</t>
  </si>
  <si>
    <t>Paslaugos nupirktos pigiau nei planuota. Lėšų nepanaudojimo priežastis -  sutaupyta.</t>
  </si>
  <si>
    <t>II ketvirtyje vaizdo stebėjimo kameros (13 vnt.) įrengtos Vytauto g. pagal sutartį su UAB "Telekonta" (2020-11-20, SŽ-1455), pasirašytas perdavimo-priėmimo aktas 2021-06-28. Vaizdo stebėjimą atlieka MKS.</t>
  </si>
  <si>
    <t>Kaštonų alėjoje įrengtos 4 vaizdo stebėjimo kameros. Sutartis su UAB "Šiaulių gatvių apšvietimas" sudaryta 2021 m. rugsėjo 9 d. Nr. SŽ-1054.</t>
  </si>
  <si>
    <t>Vaizdo kamerų įrengimo Kaštonų alėjoje pirkimas organizuotas du kartus. Pirmą kartą  visų teikėjų pateiktų pasiūlymų kainos daugiau nei du kartus viršijo planuotą pirkimo sumą. Gavus papildomas lėšas ir organizavus pirkimą antrą kartą, dalis lėšų buvo sutaupyta, nes paslaugos nupirktos pigiau nei buvo planuota.  
III ketvirtyje išryškėjo poreikis pajungti vaizdo stebėjimo kameras, kurios buvo pakabintos Amfiteatre iš Architektūros, urbanistikos ir paveldosaugos skyriaus vykdyto projekto lėšų. Kamerų ir Wifi modemų pajungimo pirkimas pradėtas vykdyti 2021 m. gruodį, pasiūlymų pateikimo terminas - 2022 m. sausio 7 d.</t>
  </si>
  <si>
    <t>IV ketvirtį buvo numatyta pradėti rangos darbus, tačiau dėl užtrukusio techninio projekto ekspertizės papildomų nurodymų (projektas pakartotinai koreguojamas), darbai bus pradėti po žiemos technologinės pertraukos, 2022 m.</t>
  </si>
  <si>
    <t>Pradžioje 2021 m. buvo skirta 350,0 tūkst. Eur. Buvo numatyta statyti: 2021 m. – II etapą, 2022 m. – IV etapą, 2023 m. – III etapą, tačiau dar 2021 m. buvo  skirtas papildomas finansavimas plius 362,1 tūkst. Eur ir atlikta II ir IV etapų ranga, tačiau visos papildomai skirtos lėšos nebuvo spėtos panaudoti.</t>
  </si>
  <si>
    <t>Atlikta Žemaitės g. viaduko konstrukcijos rekonstrukcija, atlikta darbų už 1559,0 tūkst. Eur (iš jų 1450,0 tūkst. Eur iš KPP lėšų), Poilsio g. rekonstrukcija baigta, sumokėtos sulaikytos lėšos 36,6 tūkst. Eur. Dubijos g automobilių stovėjimo aikštelė Draugystės pr. Dubijos g kampe; Talkšos ežero korinės aikštelės remontas. Apmokėta už Gardino g. darbus 94,7 tūkst. Eur; Pakruojo įvažiavimo darbus 193,45 tūkst. Eur; atlikta įvairių tyrimų už 134,9 tūkst. Eur (iš jų 46,9 tūkst. Eur už Aviacijos g. kelio, perono tyrimus), apmokėta už tilto įrengimo darbus 76,0 tūkst. Eur, pradėtas šaligatvio Sodo g. įrengimas 28,6 tūkst. Eur, Tiesos, Rasos g. ir Radviliškio šaligatvio įrengimo darbai.</t>
  </si>
  <si>
    <t>Nepanaudotos lėšos sutaupytos.</t>
  </si>
  <si>
    <t>Vykdomi šaligatvių rangos darbai, Dubijos-Serbentų g. sankryžos rangos darbai.</t>
  </si>
  <si>
    <t>Planuota, kad 2021 m. bus baigti šaligatvių įrengimo darbai, tačiau darbams užsitęsus šaligatvių įrengimo darbai baigsis 2022 m.</t>
  </si>
  <si>
    <t>Lėšų nepanaudojimo priežastis - dėl rangos paslaugų vėlavimo.</t>
  </si>
  <si>
    <t>Lėšų nepanaudojimo priežastis - kita (planavimo klaida - ES lėšų suplanuota daugiau nei faktiškai gauta)</t>
  </si>
  <si>
    <t>Rodiklis nepasiektas, nes Konsultacijos vyko pagal faktinį poreikį. Lėšos panaudotos verslumo mokymo ir verslo informacinės sklaidos renginiams.</t>
  </si>
  <si>
    <t>Rodiklis viršytas, nes buvo didesnis poreikis verslumo mokymo ir verslo informacinės sklaidos renginiams.</t>
  </si>
  <si>
    <t>1 renginys neįvyko, nes buvo didesnis poreikis konsultacijoms.</t>
  </si>
  <si>
    <t>Rodiklis viršytas, nes buvo didesnis poreikis konsultacijoms.</t>
  </si>
  <si>
    <t>Lėšos naudojamos pagal poreikį. Investicijų planų rengimo paslaugos įsigytos pigiau nei planuota. Už 6 investicijų projektų parengimą apmokėta tik 70 proc. sutarties vertės, likusi dalis (5,8 tūkst. Eur) bus apmokėta vertinančiajai institucijai baigus įvertinimo procedūras 2022 metais. Taip pat tiekėjui buvo priskaičiuoti delspinigiai (8,8 tūkst. Eur) kurie buvo išskaičiuoti iš tiekėjui mokėtinos sumos). Lėšų nepanaudojimo priežastys: 8,8 tūkst. Eur (sutaupyta, paslaugos, prekės nupirktos pigiau), 13,0 tūkst. Eur (sutaupyta dėl poreikio nebuvimo).</t>
  </si>
  <si>
    <t>Sklypų 6, 8, 10, 12  Aviacijos g. lyginimo  darbų užbaigimas persikėlė į 2022 m. Likusių 6 sklypų lyginimas išbrauktas iš projekto apimties projekto partneriui ir sklypų valdytojui raštu nurodžius, kad sklypų lyginimo poreikio nebėra.</t>
  </si>
  <si>
    <t xml:space="preserve"> Į 2022 m. persikėlė kadastrinių matavimų atlikimo darbai (vertė 12,0 tūkst. Eur) ir objekto užbaigimo procedūros. Laukiama 32,0 tūkst. Eur apmokėjimo iš LR Susisiekimo ministerijos. Lėšų nepanaudojimo priežastys: 12,0 tūkst. Eur ( dėl viešųjų konkursų, įrangos pirkimo procedūrų vėlavimo), 32,0 tūkst. Eur (kita (lėšų neišmokėjo ministerija, todėl lėšos nebuvo faktiškai gautos, likę apie 2 000,0 tūkst.  Eur nepanaudoti dėl rangos darbų vėlavimo.</t>
  </si>
  <si>
    <t>Dviračių tako įrengimo darbai užbaigti. 
Į 2022 m. nusikėlė dviračių tako prieigose esančio juodžemio sutvarkymo ir žolės užsėjimo darbų vykdymas.
Atlikus šiuos darbus bus vykdomos objekto užbaigimo ir registravimo procedūros.</t>
  </si>
  <si>
    <t>2021 m. buvo suorganizuoti 2 verslumo skatinimo renginiai, kuriuose lektoriai pranešimus skaitė neatlygintinai.
2021-09-07 suorganizuota Ch. Frenkelio konferencija „Lyderystė pokyčių laikais. Ko išmokome?“ (panaudota 6,05 tūkst. Eur); Šiaulių miesto savivaldybės pristatymas ir viešinimas iki konferencijos ir jos metu (panaudota 3,025 tūkst. Eur)</t>
  </si>
  <si>
    <t xml:space="preserve"> Paroda dėl Covid-19 nevyko.</t>
  </si>
  <si>
    <t>2021 m. lėšos nepanaudotos dėl poreikio nebuvimo.</t>
  </si>
  <si>
    <t>Mokama pagal faktą.</t>
  </si>
  <si>
    <t>Poreikio drausti turtą nebuvo.</t>
  </si>
  <si>
    <t>Mokama pagal pateiktus prašymus (faktą). 2021 m. buvo patenkinti 4 prašymai.</t>
  </si>
  <si>
    <t>Renginiuose dalyvavo 35 600 dalyvių (pagal Šiaulių miesto biudžetinių sporto įstaigų bei kitų sporto organizacijų, kurioms buvo skirtas dalinis finansavimas iš Sporto plėtros programos pateiktus duomenis).</t>
  </si>
  <si>
    <t>Duomenys pateikti biudžetinių sporto įstaigų bei kitų Šiaulių miesto sporto organizacijų, kurioms buvo skirtas dalinis finansavimas iš Sporto plėtros programos ( 34 sporto šakų dalyviai).</t>
  </si>
  <si>
    <t>Duomenys pateikti Savivaldybės biudžetinių sporto įstaigų bei kitų Šiaulių miesto sporto organizacijų, kurioms buvo skirtas finansavimas ir Savivaldybės biudžeto, pateiktus duomenis. Laimėjimai pasiekti 34 sporto šakose.</t>
  </si>
  <si>
    <t>Renginius vykdė 22 sporto organizacijos (pagal Šiaulių miesto biudžetinių sporto įstaigų bei kitų sporto organizacijų, kurioms buvo skirtas dalinis finansavimas iš Sporto plėtros programos pateiktus duomenis).</t>
  </si>
  <si>
    <t>2021 m. įvyko šie reprezentaciniai sporto renginiai: 
1. Tarptautinės sportinių šokių varžybos „Sun City Cup“;
2. UEFA moterų čempionų lyga ir Moterų futbolo Baltijos lyga; 
3. Lietuvos krepšinio lyga ir Karaliaus Mindaugo Taurė; 
4. Šiaulių dviračių lenktynės;
5. Europos motokroso čempionato etapas;
7. Daviso taurės mačas ir Tarptautinės teniso federacijos antros kategorijos jaunių (iki 18) metų turnyras.</t>
  </si>
  <si>
    <t>7 surengtuose reprezentaciniuose  sporto renginiuose dalyvavo 2 289 dalyviai (pagal reprezentacinių renginių vykdytojų pateiktus duomenis).</t>
  </si>
  <si>
    <t>7 surengtuose reprezentaciniuose renginiuose dalyvavo 29 565 žiūrovai (pagal reprezentacinių renginių vykdytojų pateiktus duomenis).</t>
  </si>
  <si>
    <t>Metinės premijos (stipendijos) skirtos šiems sportininkams: 
1. Danutei Domikaitytei;
2. Dovilei Kilty;
3. Kamilei Gaučaitei;
4. Aurimui Lankui;
5. Edvinui Ramanauskui;
6. Andriui Skujai;
7. Edgarui Abromavičiui;
8. Eglei Balčiūnaitei;
9. Gabrieliui Pabijanskui;
10. Jonui Spudžiui.</t>
  </si>
  <si>
    <t>2021 m. buvo paskatintas 31 sportininkas.</t>
  </si>
  <si>
    <t>2021 m. buvo paskatinta 13 trenerių.</t>
  </si>
  <si>
    <t>Šiaulių miesto biudžetines sporto įstaigose buvo rengiami  2715 sportininkai, o Švietimo skyriaus duomenimis Šiaulių miesto bendrojo ugdymo įstaigas lankė 13977 mokiniai.</t>
  </si>
  <si>
    <t>VšĮ futbolo akademijoje  „Šiauliai" buvo rengiami  - 651 sportininkai, o VšĮ krepšinio akademijoje „Saulė" - 561 sportininkai, o Švietimo skyriaus duomenimis Šiaulių miesto bendrojo ugdymo įstaigas lankė 13977 mokiniai.</t>
  </si>
  <si>
    <t>LFF  I lygos varžybose dalyvauja vyrų futbolo komanda „FA ŠIAULIAI", o LFF II lygos varžybose dalyvauja SG-FA „ŠIAULIAI B".</t>
  </si>
  <si>
    <t>Finansuotos šios sporto paslaugas teikiančios įstaigos: 1. Šiaulių sporto centras „Atžalynas"; 2. Šiaulių sporto centras „Dubysa"; Šiaulių plaukimo centras „Delfinas"; 4. Lengvosios atletikos ir sveikatingumo centras; 5. Regbio ir žolės riedulio akademija; 6 . Šiaulių teniso akademija; 7. VšĮ futbolo akademija „Šiauliai"; 8. VšĮ krepšinio akademija „Saulė".</t>
  </si>
  <si>
    <t>Regionų krepšinio lygos varžybose dalyvavo vyrų VšĮ krepšinio akademijos „Saulė" krepšinio komanda.</t>
  </si>
  <si>
    <t>2021 m. Lietuvos tautinis olimpinis komiteto bei Lietuvos paralimpinio komiteto buvo patvirtintas 41  Olimpinės ir paralimpinės rinktinės kandidatas bei perspektyvinės pamainos sportininkas iš Šiaulių miesto.</t>
  </si>
  <si>
    <t>Pagal projektavimo darbų sutartį atlikti I etapo darbai: nupirkti projektavimo darbai, kurie bus užbaigti 2022 m.</t>
  </si>
  <si>
    <t>Vėlavo projektavimo darbai.</t>
  </si>
  <si>
    <t>Lėšos lėšos buvo sutaupytos (paslaugos nupirktos pigiau).</t>
  </si>
  <si>
    <t>Lėšos sutaupytos (paslaugos ir prekės nupirktos pigiau).</t>
  </si>
  <si>
    <t>Plaukimo įgūdžių pagrindai buvo suteikti 850 mokiniams. Švietimo skyriaus duomenimis Šiaulių mieste mokėsi 4575 1-4 klasių mokiniai.</t>
  </si>
  <si>
    <t>Pagal Šiaulių miesto sporto organizacijų pateiktus statistinius duomenis fizinio aktyvumo veiklose dalyvavo 9 855 asmenys. 2021-01-01  bendras Šiaulių mieste gyventojų skaičius buvo 111 967.</t>
  </si>
  <si>
    <t>Rangos darbams užsitęsus dėl atsiradusių nenumatytų darbų bei dėl Šiaulių miesto savivaldybės priimtų sprendimų dėl fontano sprendinių keitimo, rangos darbų pabaiga ir galutinio mokėjimo prašymo pateikimas nusikėlė į 2022 m. 2021 m. neįvyko fontano įrengimo rangos darbų konkursas. Lėšų nepanaudojimo priežastys: apie 650,0 tūkst. Eur (Dėl viešųjų konkursų, įrangos pirkimo procedūrų vėlavimo), likę apie 287,0 tūkst. Eur -dėl rangos paslaugų vėlavimo.</t>
  </si>
  <si>
    <t>Pateiktas prašymas CPVA dėl intensyvumo keitimo, tačiau dar negautos planuotos gauti papildomo finansavimo lėšos, todėl nebuvo galimybės jų panaudoti. Tikimasi, kad procedūros bus atliktos artimiausiu metu. Lėšų nepanaudojimo priežastis kita - užsitęsus administracinėms procedūroms papildomas finansavimas dar neskirtas, todėl nebuvo galima atstatyti patirtų išlaidų paramos lėšomis.</t>
  </si>
  <si>
    <t>Šalies čempionatuose dalyvavo šios komandos: 
1. Šiaulių regbio komanda „Baltrex-Šiauliai R7“;
2. Šiaulių vyrų regbio komanda „Vairas-Kalvis-Jupoja-Šiauliai“ R7; 
3. Šiaulių vyrų regbio komanda „Šiauliai“ R7;
4.  Šiaulių moterų futbolo komanda „Gintra“ ; 
5. Šiaulių moterų žolės riedulio komanda „Ginstrektė-ŠSG“ (lauko); 
6. Šiaulių moterų žolės riedulio komanda „Ginstrektė-ŠSG“ (uždarų patalpų);
7. Šiaulių vyrų žolės riedulio komanda „Ginstrektė“ (lauko);
8. Šiaulių vyrų žolės riedulio komanda „Ginstrektė“ (uždarų patalpų);
9.Šiaulių vyrų tinklinio komanda „Elga-Master Idea-SC Dubysa“; 
10. Šiaulių vyrų rankinio komanda „RK Šiauliai“; 
11. Šiaulių moterų rankinio komanda „SC „Dubysa“/Šiaulių sporto gimnazija“; 
12. Šiaulių moterų krepšinio komanda „Šiauliai-Vilmers“; 
13. Šiaulių vyrų krepšinio komanda „Šiauliai“;
14. Šiaulių vyrų paplūdimio tinklinio komanda.</t>
  </si>
  <si>
    <t>Šalies čempionatuose/taurės varžybose prizines vietas laimėjo šios komandos: 
1. Šiaulių regbio komanda „Baltrex-Šiauliai“ R7 – 1 v.;
2. Šiaulių vyrų regbio komanda „Vairas-Kalvis-Jupoja-Šiauliai“ R7 – 2 v.;
3. Šiaulių vyrų regbio komanda „Šiauliai“ R7 – 3 v.;
4. Šiaulių moterų futbolo komanda „Gintra“ – 1 v.;
5. Šiaulių moterų žolės riedulio komanda „Ginstrektė-ŠSG“ (lauko) – 1v.;
6. Šiaulių moterų žolės riedulio komanda „Ginstrektė-ŠSG“ (uždarų patalpų) – 2 v.;
7. Šiaulių vyrų žolės riedulio komanda „Ginstrektė“ (lauko) – 3 v.;
8. Šiaulių vyrų žolės riedulio komanda „Ginstrektė“ (uždarų patalpų) – 3 v.;
9. Šiaulių vyrų tinklinio komanda „Elga-Master Idea-SC Dubysa“ (LT čempionatas) – 3 v.;
10. Šiaulių vyrų paplūdimio tinklinio komanda – 2 v.</t>
  </si>
  <si>
    <t>Oficialiose tarptautinėse varžybose dalyvavo šios komandos:
1. Šiaulių moterų futbolo komanda „Gintra“ (Europos čempionatas);
2-3.Šiaulių regbio komanda „Baltrex-Šiauliai“ (Baltijos čempionatas R15 ir Europos taurė R7);
4. Šiaulių vyrų regbio komanda „Vairas-Kalvis-Jupoja-Šiauliai“ (Baltijos čempionatas R15);
5. Šiaulių vyrų regbio komanda „Šiauliai“ (Baltijos čempionatas R15);
6. Šiaulių moterų žolės riedulio komanda „Ginstrektė-ŠSG“ (lauko).</t>
  </si>
  <si>
    <t>Oficialiuose tarptautinėse varžybose laimėjo 1–3 vietą šios komandos:
1. Šiaulių regbio komanda „Baltrex-Šiauliai“ (Baltijos čempionatas R15) – 1 v.;
2. Šiaulių regbio komanda „Baltrex-Šiauliai“ (Europos taurė R7) – 2 v.;
3. Šiaulių vyrų regbio komanda „Vairas-Kalvis-Jupoja-Šiauliai“ (Baltijos čempionatas R15) – 3 v.</t>
  </si>
  <si>
    <t>2021 m. Miesto olimpiadose, konkursuose dalyvavo 746 mokiniai, šalies etapuose - 106 mokiniai. Olimpiados organizuotos nuotoliniu būdu.</t>
  </si>
  <si>
    <t>Prekės nupirktos pigiau.</t>
  </si>
  <si>
    <t>Sutaupyta dėl Covid-19 pandemijos (Nr. 6) (Lėšų likutis susidarė tiekėjui sistemos atnaujinimo darbus perkėlus į 2021 m. IV ketvirtį. Numatyti nauji viešieji pirkimai dėl sistemos priežiūros neįvyko (negauta pasiūlymų) . Dėl šios priežasties nebuvo mokama už sistemos priežiūrą).</t>
  </si>
  <si>
    <t>4 programas įgyvendino Šiaulių valstybinė kolegija.</t>
  </si>
  <si>
    <t xml:space="preserve">22 studentui skirta studijų parama. </t>
  </si>
  <si>
    <t>Lėšos sutaupytos dėl poreikio nebuvimo (Iš UAB ,,Kalvis“, dėl įmonės studijų paramos sutarties nevykdymo, grąžintos studijų paramos lėšos).</t>
  </si>
  <si>
    <t>2021 m. vyko  tarptautinė STEAM konferencija EDSTART ŠIAULIAI ir varžybos. Dalyvavo 90 pedagogų, 24  Youtube dalyvių, nuotolinėse dirbtuvėse dirbo 254 pedagogai.</t>
  </si>
  <si>
    <t>Pamesta ar sugadinta mažiau mokinio pažymėjimų nei planuota spausdinti.</t>
  </si>
  <si>
    <t>Kompensacijos mokamos pagal faktiškai patirtas mokinių išlaidas. Dėl koronaviruso infekcijos buvo mažiau važiuojančių mokinių, kurie mokėsi nuotoliniu būdu.</t>
  </si>
  <si>
    <t>Projektui skirtos lėšos  perkeliamos į 2022 m.</t>
  </si>
  <si>
    <t>Dėl šalyje paskelbto karantino, visuotinės pandemijos ir projekto veiklos tipo (fizinis asmenų mobilumas) veikla 2021 m. nebuvo vykdoma. Su bendrojo ugdymo įstaigomis derinamos fizinių mobilumų galimybės, pakeista dotacijos sutartis (pratęsta iki 2022-09-30). Fiziniai mobilumai bus pradėti vykdyti nuo 2022 m. kovo mėn., vykdomos pasirengimo procedūros. Lėšos nepanaudotos dėl COVID-19, tačiau nesutaupytos, bus naudojamos 2022 m.</t>
  </si>
  <si>
    <t>Prekės nupirktos pigiau. Lėšų likutis susidarė po įvykusių viešųjų pirkimų ir atliktų rangos darbų.</t>
  </si>
  <si>
    <t>2021 m. atlikti suplanuoti darbai ir panaudotos skirtos lėšos.  Pastatytas priestatas su stogu, langais ir lauko durimis. Atlikta priestato sienų išorinė apdaila. Priestato viduje atlikti sienų tinkavimo darbai.</t>
  </si>
  <si>
    <t>Paslaugos ir prekės nupirktos pigiau (7,6 tūkst. Eur liko po ,,Rasos“ progimnazijos kiemo sutvarkymo, 13,4 tūkst. Eur grąžinta į Juliaus Janonio gimnazijos K. Butkaus paramos fondą).</t>
  </si>
  <si>
    <t>LD ,,Eglutės“ pastato apšiltinimui 2021 m. nepanaudotos lėšos perkeltos į 2022 m.</t>
  </si>
  <si>
    <t>2021-05-31 pasirašytas darbų priėmimo-perdavimo aktas, statybos užbaigimo aktas išduotas 2021-08-31. Rekonstravimo darbų metu pastatytas priestatas, sutvarkytos visos lopšelio-darželio patalpos, pakeistas vamzdynas, atnaujinta elektros instaliacija. Lopšelyje-darželyje įkurtos 3 papildomos grupės vaikams: 2 lopšelio grupės ir 1 darželio grupė, sukurta 50 naujų vietų Šiaulių miesto vaikams.
Atvirai žaidimų ir poilsio erdvei nupirkta įranga (projektorius su kompiuteriu, interaktyvi įranga, sintezatorius ir kt.) prisideda kuriant jaukias atviras erdves, kuriose bus skatinamas vaikų kūrybiškumas, lopšelio-darželio vaikai gali kartu žiūrėti edukacinius filmus, laideles. Taip pat, 2021 m. buvo įsigytas įrangos, baldų ir žaislų komplektas, kurį sudaro didieji konstruktoriai, imitaciniai vaidmenų žaidimai (parduotuvė, dirbtuvių stalas, lėlių namas, virtuvėlė ir kt.), šviečiantis molbertai, interaktyvus stalas, žaliuzės, kilimai, interaktyvios grindys, šviečiančių kubų rinkinys, šviečiantys akmenukai, šviesos lentos su priedais, manipuliacinė sienelė, mobilūs krepšinio stovai, sensorinių plytelių komplektai, sensorinė burbulų siena, grindų elementų komplektas, rūbų spintelės, minkštųjų detalių komplektai, stalai, kėdės, spintos ir spintelės.</t>
  </si>
  <si>
    <t>Įsigyta garso įranga, kabyklos, kėdės. Pateiktas papildomo finansavimo prašymas, gautas papildomas finansavimas. Teikiant papildomo finansavimo prašymą suderinta, kad papildomai bus perkami pianinai, planšetiniai kompiuteriai, muzikos natų rašymo įranga, stereo stiprintuvas, garso kolonėlių laikikliai, folklorinės kanklės, vaizdo kamera.</t>
  </si>
  <si>
    <t>Projektui skirtas papildomas finansavimas (15,6 tūkst. Eur) ES lėšų. 2022 m. bus perkami pianinai, folklorinės kanklės, vaizdo kamera, muzikos natų rašymo programinė įranga, planšetiniai kompiuteriai vaikams. Lėšų nepanaudojimo priežastys: 5,4 tūkst. Eur (paslaugos, prekės nupirktos pigiau), 18,4 tūkst. Eur (nespėta gauti papildomo finansavimo užtrukus papildomo finansavimo gavimo procedūrai).</t>
  </si>
  <si>
    <t>1 rezidentė motinystės atostogose iki 2022-07.
I-IV ketv. naujų prašymų dėl finansavimo teikimo 2021 m. nepateikta. 
Sutaupyta dėl poreikio nebuvimo.</t>
  </si>
  <si>
    <t>Finansavimas skirtas 2 gydytojams specialistams. 1 gydytojas dėl asmeninių priežasčių atsisakė skirto finansavimo. 
Lėšos sutaupytos.</t>
  </si>
  <si>
    <t>Covid-19 (koronaviruso infekcijos) ligos valdymo priemonės finansuotos pagal faktinį lėšų poreikį. Sutaupyta dėl COVID-19 pandemijos.</t>
  </si>
  <si>
    <t>Finansuoti ir įgyvendinti pagal pateiktą poreikį 8 sveikatinimo projektai iš Visuomenės sveikatos rėmimo specialiosios programos lėšų, sveikatinimo projektų įgyvendinimui skirta 24,97 tūkst. Eur.</t>
  </si>
  <si>
    <t>Didesnis dalyvių skaičius dėl pagerėjusios epidemiologinės situacijos II-III ketv.</t>
  </si>
  <si>
    <t>Dėl karantino metu taikomų apribojimų paslaugos I ketv. neteiktos. Veiklas planuojama tęsti 2022 m. 
Sutaupyta dėl COVID-19 pandemijos.</t>
  </si>
  <si>
    <t xml:space="preserve">Viršyta metinė reikšmė, nes pasibaigus šalyje paskelbtam karantinui išaugo privalomųjų mokymų poreikis įvairias paslaugas teikiantiems teikėjams.
</t>
  </si>
  <si>
    <t>Viršyta metinė reikšmė dėl epidemiologinės situacijos šalyje išaugusio poreikio teikti informacinius pranešimus COVID-19 ligos valdymo tema.</t>
  </si>
  <si>
    <t>Išaugęs poreikis pagerėjus epidemiologinei situacijai II-III ketv.</t>
  </si>
  <si>
    <t>Metinė reikšmė viršyta dėl aktualios informacijos, susijusios su COVID-19 valdymu, intensyvaus viešinimo.</t>
  </si>
  <si>
    <t>Planuojant reikšmes nebuvo žinomas finansavimo dotacijos, skirtos šioms veikloms, dydis.</t>
  </si>
  <si>
    <t>Rodiklis viršytas, nes planuojant reikšmes nebuvo žinomas finansavimo dotacijos, skirtos šioms veikloms, dydis.</t>
  </si>
  <si>
    <t>Susidarius lėšų likučiui po pirmojo viešųjų pirkimų etapo ir esant didesniam paslaugos poreikiui, papildomai mokymai buvo vykdomi dar vienoje įmonėje ir vienoje mokykloje.</t>
  </si>
  <si>
    <t>Planuota, kad projekto veiklos pilna apimtimi bus baigtos 2021 m., tačiau dėl užsitęsusių triukšmo užtvaros Žaliūkių g. aplinkoje rangos darbų, projekto veiklos persikėlė į 2022 m. Lėšų nepanaudotos dėl rangos paslaugų vėlavimo.</t>
  </si>
  <si>
    <t>Sutaupyta dėl poreikio nebuvimo.</t>
  </si>
  <si>
    <t>Covid 19 (koronaviruso infekcijos) pandemijos apribojimai.</t>
  </si>
  <si>
    <t>Programoje dalyvauja mažiau dalyvių nei planuota, atvyksta mažiau sergančių asmenų. Paslaugos gavėjų skaičiaus mažėjimą įtakojo bendras mažesnis sergamumas, taip pat pirmąją metų pusę buvęs karantinas. Dalis lėšų keliasi į 2022 m., o 2,3 tūkst. Eur sutaupyta dėl poreikio nebuvimo.</t>
  </si>
  <si>
    <t>Lėšų išmokėjimas priklauso nuo faktiškai išmokamo darbo užmokesčio kabineto darbuotojams. Lėšos nepanaudotos dėl poreikio nebuvimo, lėšos keliasi į 2022 m.</t>
  </si>
  <si>
    <t>Paslaugos teikiamos pagal poreikį (asmeniui pateikus prašymą dėl paslaugų gavimo).</t>
  </si>
  <si>
    <t>Sutaupyta dėl Covid-19 pandemijos (nemaža dalis įdarbintų asmenų turėjo nedarbingumo laikotarpius).
Užimtumo tarnyboje nebuvo registruotų reikiamos kvalifikacijos darbo ieškančių asmenų, kuriuos įstaigos būtų galėję laikinai įdarbinti.</t>
  </si>
  <si>
    <t>5-ioms šeimoms, auginančioms vaikus su sunkia negalia, buvo pritaikyta gyvenamoji aplinka (kompensuotos sensorinių priemonių įsigijimo išlaidos).</t>
  </si>
  <si>
    <t>Statybos ir renovacijos skyrius tris kartus inicijavo būsto pritaikymo neįgaliesiems darbų atlikimo pirkimus, tačiau viešieji pirkimai neįvyko, nes tiekėjų pateikti pasiūlymai viršijo pirkimui skirtas lėšas ir beveik dvigubai viršijo preliminarias būsto pritaikymo darbų ir medžiagų sąmatas, parengtas pagal statybos darbų sąmatų ir kainynų informacinės bazės „Sistela“ skelbiamas kainas. Asmenų būstai, kuriems eilės tvarka jie turėtų būti pritaikomi, jau yra apžiūrėti, parengtos preliminarios sąmatos, o nepanaudotos savivaldybės biudžeto lėšos perkeltos į 2022 metus numatytiems darbams atlikti</t>
  </si>
  <si>
    <t>Teikiamos šios paslaugos:
1) apgyvendinimas Savarankiško gyvenimo namuose;
2) ilgalaikė socialinė globa;
3) trumpalaikė socialinė globa;
4) dienos socialinė globa institucijoje;
5) dienos socialinė globa asmens namuose;
6) dienos socialinė globa asmens namuose (integrali pagalba);
7) laikinas "atokvėpis" (trumpalaikė ar (ir) dienos socialinė globa);
8) Apsaugoto būsto paslauga; 
9) socialinių dirbtuvių paslauga.</t>
  </si>
  <si>
    <t>2.01 nepanaudotų lėšų likutis 8,0 tūkst. eurų (7 - gautas ir nepanaudotas avansas);
2.02 nepanaudotų lėšų likutis 4,2 tūkst. eurų (7 - gautas ir nepanaudotas avansas);
2.03 nepanaudotų lėšų likutis 7,2 tūkst. eurų (paramos lėšos).</t>
  </si>
  <si>
    <t>Integralios pagalbos paslaugos klientų namuose teikiamos pagal poreikį. Trys Projekto partneriai teikia paslaugas apie 150 žmonių vienu metu. Iš viso per 2021 m. paslaugas gavo 273 asmenys.</t>
  </si>
  <si>
    <t>Bendradarbiaujant su Neįgalumo ir darbingumo nustatymo tarnyba rastas optimalus sprendimas dėl prieigos prie informacijos apie Savivaldybėje gyvenančius senyvo amžiaus asmenis ir asmenis su negalia (suformuotas sąrašas).</t>
  </si>
  <si>
    <t>Sutaupyta dėl poreikio nebuvimo</t>
  </si>
  <si>
    <t>Paslaugą teikia 3 šeimynos, paslaugos yra teikiamos pagal poreikį.</t>
  </si>
  <si>
    <t>Rangos darbų pirkimo dokumentų įvertinimas iš CPVA gautas tik 2021 m. spalio mėn. Pirkimo dokumentai koreguojami pagal pateiktas pastabas/rekomendacijas. Įvertinus CPVA siūlymus dėl paslaugų suteikimo terminų, projektas pratęstas iki 2022 m. lapkričio 30 d. Rangos darbų sutartį pasirašius tik 2021 m. gruodžio mėn. rodiklis bus pasiektas 2022 m. Nepanaudotos lėšos keliasi į 2022 m.</t>
  </si>
  <si>
    <t>Įvykdytas pakartotinis "Vairo" vaikų dienos centro įrangos pirkimas, apmokėjimas bus įvykdytas iki metų galo CPVA patikrinus ir patvirtinus pirkimo dokumentus. Kreiptasi į CPVA dėl projekto pratęsimo ir projekto partnerio keitimo. Šiuo metu vyksta naujo projekto partnerio atranka (įvertinus pateiktus dokumentus potencialaus partnerio paprašyta pateikti patikslinimus/trūkstamus dokumentus. Nepanaudotos lėšos keliasi 2022 metus. Lėšų nepanaudojimo priežastys: 290 tūkst. Eur (3), 62 tūkst. Eur (kita - Nusprendus nevykdyti veiklos VDC esančiame Stoties g. 9 C, gautas projekto pratęsimas, metų pabaigoje paskelbtas naujas projekto partnerio atrankos konkursas, kuris vykdomas šiuo metu).</t>
  </si>
  <si>
    <t>Dalis paslaugų gavėjų gavo socialinius būstus arba išvyko į globos įstaigas.</t>
  </si>
  <si>
    <t>Vadovaujantis higienos normomis, pritaikytos 32 vietos apnakvindinimo paslaugoms teikti.</t>
  </si>
  <si>
    <t>Teikiamos šios paslaugos:
1) ilgalaikė socialinė globa;
2) trumpalaikė socialinė globa;
3) dienos socialinė globa institucijoje;
4) laikino atokvėpio paslauga (dienos socialinė globa asmens namuose ir pagalba į namus).
Nuo 2021 metų nebevykdomos dienos užimtumo grupės vaikams, turintiems negalią, projekto veiklos, nes šios paslaugos nebėra finansuojamos iš valstybės biudžeto lėšų. Vaikų su negalia priežiūros paslaugos teikiamos kitose specializuotose ugdymo įstaigose.</t>
  </si>
  <si>
    <t>Įvertinus rinkos konsultacijos rezultatus veikla nebebus vykdoma, 2022 m. bus prašoma šią numatytą veiklą pakeisti kita veikla, atitinkančia projekto tikslus.</t>
  </si>
  <si>
    <t>Projektas baigtas, lėšos sutaupytos.</t>
  </si>
  <si>
    <t>Projektuotojai vėlavo parengti TP.  Nespėta panaudoti suplanuotų lėšų, nes  TP (Vilniaus g. 303) pateiktas  ekspertizei tik 2021-12-28. 4 GGN projektavimas vyksta šiuo metu, nes sutartis pasirašyta 2021 rugsėjo mėn. (ne iš pirmo karto pavyko nupirkti techninio projekto parengimo paslaugą). Lėšų nepanaudojimo priežastys: 100,0 tūkst. Eur (dėl projektavimo paslaugų vėlavimo), 409,0 tūkst. Eur (dėl viešųjų konkursų procedūrų vėlavimo).</t>
  </si>
  <si>
    <t>Dalyvaudami projektuose paslaugas gavo 852 asmenys, iš jų 747 asmenys su negalia ir 105 neįgaliųjų šeimos nariai. Paslaugos teikiamos pagal poreikį.</t>
  </si>
  <si>
    <t>Sutaupyta dėl Covid-19 pandemijos.</t>
  </si>
  <si>
    <t>Kompensacijos buvo planuotos 2 asmenims, tačiau mirus vienam asmeniui liko nepanaudotos lėšos.
Sutaupyta dėl poreikio nebuvimo.</t>
  </si>
  <si>
    <t>Nuo 2021 m. valstybei skyrus finansavimą vaikų dienos socialinei priežiūrai, šių paslaugų teikimą akreditavo 10 vaikų dienos centrų, todėl padaugėjo vaikų, lankančių dienos centrus, iš kitų tikslinių grupių: nepasiturinčių šeimų, vaikai su negalia, globojami vaikai.</t>
  </si>
  <si>
    <t>Priemonės lėšomis finansuojamos išlaidos, susijusios su Šiaulių miesto būsto fondo nuomininkų iškeldinimu, skolų išieškojimu. 2021 m. buvo inicijuoti 24 asmenų (šeimų) iškeldinimai ir skolų už kom. mokesčius išieškojimai. 15 asmenų (šeimų) iškeldinti, pasirašytos 4 taikos sutartys.</t>
  </si>
  <si>
    <t>Dėl esamos nekilnojamojo turto rinkos, kylančių kainų, ilgai besitęsiančių pirkimo procedūrų, daug butų nuperkama bevykdant pirkimų procedūras (kitų asmenų), gaunama ne tiek daug pasiūlymų kiek buvo tikėtasi, dėl to nepavyksta nupirkti ir planuotų butų skaičiaus. 2022 metais planuojama įsigyti likusius 7  būstus. Lėšų nepanaudojimo priežastis - negaunama pakankamai pasiūlymų.</t>
  </si>
  <si>
    <t>Mokama pagal faktą. Sąskaitos apmokėtos.</t>
  </si>
  <si>
    <t xml:space="preserve">Priemonės 2021-01-01 likutis 123,6 tūkst. Eur. 
Priemonės 2022-01-01 likutis 155,2 tūkst. Eur 
Lėšos už parduotas gyv. patalpas gali būti skiriamos tik socialinio būsto fondo plėtrai. </t>
  </si>
  <si>
    <t>27 šeimos (67 asmenys) gavo būsto nuomos mokesčio dalies kompensaciją.</t>
  </si>
  <si>
    <t xml:space="preserve">Išlaidos apmokamos pagal pateiktus prašymus. </t>
  </si>
  <si>
    <t>Vadovaujantis aprašu, patvirtintu 2021-03-04 tarybos sprendimu Nr. T-60, jaunos šeimos, kurios pasinaudojo valstybės iš dalies kompensuojamu būsto kreditu, gali kreiptis dėl 0,5 tūkst. Eur finansinės paramos.  23 jaunos šeimos (iki 36 metų) gavo finansinę paramą.</t>
  </si>
  <si>
    <t>Mokama pagal pateiktus prašymus.</t>
  </si>
  <si>
    <t>II-ąjį 2021 m. ketvirtį įsigyta programinė įranga Amelia WordPress Booking Plugin Lifetime.
IV -ąjį 2021 m. ketvirtį įsigyta 17 vnt. programinės įrangos.
Viso per 2021 m. įsigyta 18 vnt. programinės įrangos vienetų.</t>
  </si>
  <si>
    <t>2021 m. įsigyta 1 duomenų saugykla.</t>
  </si>
  <si>
    <t xml:space="preserve"> I-ąjį 2021 m. ketvirtį fiksuota 1161 sekėjų.
II-ąjį 2021 m. ketvirtį fiksuota 1243 sekėjai.
III-ąjį 2021 m. ketvirtį fiksuota 1306 sekėjai.
2021 m. fiksuota 1388 sekėjai.</t>
  </si>
  <si>
    <t>I-ąjį 2021 m. ketvirtį fiksuota 12271 sekėjų.
II-ąjį 2021 m. ketvirtį fiksuota 13750 sekėjų
III-ąjį 2021 m. ketvirtį fiksuota 14260 sekėjų.
2021 m. pabaigoje fiksuota 15149 sekėjų.</t>
  </si>
  <si>
    <t>2021 m. Kontrolės ir audito tarnyboje buvo 10 pareigybių.</t>
  </si>
  <si>
    <t>2021 m. dirba 31 Tarybos narys</t>
  </si>
  <si>
    <t xml:space="preserve"> Administracinės naštos mažinimo 2019–2021 m. priemonių plane numatytos priemonės 2021 m. I pusmetyje įgyvendintos 87,5 proc.
</t>
  </si>
  <si>
    <t>Savivaldybės administracijos padalinių 2021 m. I pusmetyje neįgyvendinta viena (1.5. „Šiaulių miesto savivaldybės priimamų teisės aktų projektų analizė jų derinimo metu ir administracinės naštos įvertinimas ūkio subjektams“ (priedas Nr. 1) Administracinės naštos mažinimo 2019–2021 m. 
priemonių plane numatyta priemonė.
II pusmečio ataskaita dar neparengta.</t>
  </si>
  <si>
    <t>Sprendinių realizavimui reikėjo mažiau lėšų, nei buvo planuota.  Lėšų nepanaudojimo priežastis - sutaupyta dėl poreikio nebuvimo.</t>
  </si>
  <si>
    <t>Planuotas gerosios patirties pasikeitimo renginys Šiauliuose vyko online, dėl to nepatirta renginio organizavimo išlaidų, mažiau nei planuota panaudota netiesioginių išlaidų. Lėšų nepanaudojimo priežastis - sutaupyta dėl poreikio nebuvimo.</t>
  </si>
  <si>
    <t>Apmokėtos, šios paslaugos: 2  projektų vykdymo paslaugos; 7 ekspertizės; FIDIC paslauga; 3 vnt. techninio prižiūrėtojo privalomojo c.a.d. ik. kt.</t>
  </si>
  <si>
    <t>I ketv. nepanaudota 11,568 tūkst. Eur. dėl užsitęsusių viešųjų pirkimų procedūrų ir  paslaugų teikimo. II ketv. nepanaudota 24,0 tūkst. Eur. dėl užsitęsusių pirkimo procedūrų, užsitęsusių ekspertizių atlikimo termino ir paslaugų teikimo. III ketv. panaudota 53,0 tūkst. Eur. įsisavinta visa planuota suma.
2021 m. nepanaudota 24,2 tūkst. Eur. dėl užsitęsusių projektavimo darbų (kai vėliau pateikiami projektai ekspertams), rangos darbų terminų pratęsimo bei sutaupius lėšas pirkimų metu.</t>
  </si>
  <si>
    <t>II ketv. pasirašytos sutartys su 6 atsakingais vykdytojais, pagal 2021 m. Šiaulių miesto savivaldybės nusikaltimų prevencijos programos veiklos planą, jiems pervestos suplanuotos lėšos, kontroliuojamas projektų vykdymas.
III ketv. nepanaudotos lėšos skirtos Nusikaltimų prevencijos programos Miesto koordinavimo skyriaus viešinimo projektui.
IV ketv. liko nepanaudota 0,03 tūkst. Eur – Sutaupyta (paslaugos, prekės nupirktos pigiau), rodiklio reikšmė pasiekta, visi projektai įgyvendinti.</t>
  </si>
  <si>
    <t>1. Sutaupyta (projekto veiklos įgyvendintos su mažesne suma);
2. Sutaupyta dėl poreikio nebuvimo;
3. Sutaupyta dėl COVID-19 pandemijos.</t>
  </si>
  <si>
    <t>Pagal priemonę "Stiprinti bendruomeninę veiklą savivaldybėse" pasirašyta 11 projektų finansavimo sutarčių už 51,78 tūkst.  Eur.</t>
  </si>
  <si>
    <t>Pasirašyta 12 dalinio finansavimo iš Savivaldybės biudžeto lėšų sutarčių su NVO už 29,2 tūkst Eur. 
Nevyriausybinių ir bendruomeninių organizacijų steigimo / perregistravimo išlaidoms kompensuoti skirta 20,05 Eur.</t>
  </si>
  <si>
    <t>1. Sutaupyta (projekto veiklos įgyvendintos pigiau, nei numatyta);
2. Sutaupyta dėl COVID-19 pandemijos.</t>
  </si>
  <si>
    <t>Projektų vykdytojai dėl lėšų išmokėjimo kreipėsi mažesniu mastu nei planuota. Lėšos bus panaudotos 2022 metais. Lėšų nepanaudojimo priežastis - sutaupyta dėl poreikio nebuvimo.</t>
  </si>
  <si>
    <t>Gautos 6 paraiškos, 2 paraiškų teikėjai atmesti dėl atitikties reikalavimų, finansuoti 4 projektai bendrai 7,61 tūkst. Eur sumai, numatytų projektams lėšų likutis (1,4 tūkst. Eur) perduoti Šiaulių menų mokyklos atvirajam jaunimo centrui signalizacijos įrengimui, 1,29 tūkst. Eur - savanoriškos veiklos įgyvendinimui. Įgyvendinti 5 jaunimo projektai. Įgyvendintos 23 veiklos, kompetencijų kėlimo renginiai - 10, sukurti 2 filmukai, suteikta per 50 konsultacijų jaunų žmonių užimtumo ir savanoriškos veiklos klausimais, jaunimo centras įsigijo 4 lauko treniruoklius.</t>
  </si>
  <si>
    <t>Dėl pandemijos situacijos reikalavimų, į renginius buvo kviečiama mažiau dalyvių.</t>
  </si>
  <si>
    <t>Projektinėje veikloje dalyvavo 4,3 procentai visų mieste gyvenančių jaunuolių.</t>
  </si>
  <si>
    <t>Nepanaudotos lėšos dėl poreikio nebuvimo.</t>
  </si>
  <si>
    <t>Kofinansuojamų projektų skaičius tiesiogiai susijęs su 2021 m. Lietuvos kultūros taryba finansuotų projektų skaičiumi - 40. Tiek Tolygios kultūrinės raidos programos projektų ir buvo kofinansuota savivaldybės lėšomis iš 02 Kultūros plėtros programos.</t>
  </si>
  <si>
    <t>Dėl COVID-19 pandemijos ir karantino ribojimų buvo atsisakyta rengti Užgavėnes.</t>
  </si>
  <si>
    <t xml:space="preserve">4,0 tūkst. Eur - negautos lėšos negautos planuotos lėšos iš Lietuvos kultūros tarybos projektams vykdyti (iš 10,0 tūkst. Eur gauta 6,0 tūkst. Eur). </t>
  </si>
  <si>
    <t>Ne visos planuotos lėšos panaudotos, kadangi ne visi projekto partneriai pateikė sąskaitas už ženklinimo infrastruktūros objektus, todėl išlaidų nebuvo galima deklaruoti agentūrai. Lėšos nepanaudotos dėl rangos darbų vėlavimo.</t>
  </si>
  <si>
    <t>Sutaupyta dėl poreikio nebuvimo. Negauta paraiškų dėl papildomų kultūros priemonių kofinansavimo.</t>
  </si>
  <si>
    <t>Lankytojų mažiau dėl COVID-19 pandemijos, karantino ir tarptautinių judėjimo apribojimų.</t>
  </si>
  <si>
    <t>Šiam rodikliui panaudota 99,4 proc. skirtų lėšų.</t>
  </si>
  <si>
    <t>Lėšų liko, nes paskutiniame skelbtame pirkime nesulaukta dalyvių.</t>
  </si>
  <si>
    <t>Nepanaudotų lėšų priežastys: numatytas žvyro konteinerių įrengimas šunų vedžiojimo aikštelėse, 4 vnt. (1839,20 Eur.) šunų vedžiojimo aikštelėse, dėl tiekėjo logistikos trikdžių nusikėlė į sausio mėnesį –dėl rangos paslaugų vėlavimo.</t>
  </si>
  <si>
    <t>Sutaupyta dėl poreikio nebuvimo (Nr. 5) (planuotas didesnis abiturientų, gavusių 100 balų įvertinimą, skaičius).</t>
  </si>
  <si>
    <t>Likusios lėšos perkeltos bendrojo ugdymo mokyklų hibridinių klasių įrengimui.</t>
  </si>
  <si>
    <t>Lėšos perkeltos hibridinių klasių įrengimui bendrojo ugdymo mokyklose.</t>
  </si>
  <si>
    <t>I-ąjį 2021 m. ketvirtį patvirtinta 87 darbuotojų, dirbančių pagal darbo sutartis, pareigybių.
II-ąjį 2021 m. ketvirtį patvirtinta 87 darbuotojų, dirbančių pagal darbo sutartis, pareigybių.
III-ąjį 2021 m. ketvirtį patvirtinta 87 darbuotojų, dirbančių pagal darbo sutartis, pareigybių.
Darbuotojų, dirbančių pagal darbo sutartis (pareigybių) 2021 m. gruodžio 31 d. yra 87.  Vietoj vienos darbuotojo, dirbančio pagal darbo sutartis, pareigybės buvo įsteigta valstybės tarnautojo pareigybė.</t>
  </si>
  <si>
    <t>I-ąjį 2021 m. ketvirtį patvirtinta 178 valstybės tarnautojų pareigybės.
II-ąjį 2021 ketvirtį patvirtinta 178 valstybės tarnautojų pareigybės
III-ąjį 2021 m. ketvirtį patvirtina 178 valstybės tarnautojų pareigybės.
2021 m. Valstybės tarnautojų pareigybių skaičius padidėjo viena pareigybe ir 2021 m. gruodžio 31 dienai yra 178.</t>
  </si>
  <si>
    <t>Buvo vykdomi leidimų ir licencijų išdavimo informacinės sistemos diegimo darbai. Paslaugų teikėjas vėluoja įvykdyti savo įsipareigojimus. Sistemos įdiegimo darbų užbaigimas persikėlė į 2022 m.  2021 m. neįvyko virtualaus roboto – asistento (atsakančio į klausimus/teikiančio informaciją) įdiegimo paslaugos viešojo pirkimo konkursas. 2022 m. bus vykdomas naujas konkursas. Lėšų nepanaudojimo priežastys: 84,0 tūkst. Eur (dėl viešųjų konkursų, įrangos pirkimo procedūrų vėlavimo), 34,0 tūkst. Eur (dėl rangos paslaugų vėlavimo).</t>
  </si>
  <si>
    <t>Naujų konteinerių aikštelių įrengta nebuvo. Šiuo metu vyksta teisiniai ginčai dėl netinkamų, neatitinkančių techninės specifikacijos konteinerių, dėl to sutarties vykdymas sustojo. Dėl to nepanaudota 290 tūkst. Eur, dar 32 tūkst. Eur nepanaudota, kadangi neparinkus sklypo nebuvo galima inicijuoti naujos DGSA projektavimo paslaugų konkurso.</t>
  </si>
  <si>
    <t>Naujos DGASA projektavimo konkursas dar nepaskelbtas, kadangi reikalingas žemės sklypas dar nesuformuotas. Rodiklis nepasiektas, kadangi ilgiau nei planuota užtruko tinkamo sklypo parinkimo procedūra.</t>
  </si>
  <si>
    <t>Ilgiau nei planuota užtruko finansavimo gavimo procesas, kadangi atsisakius keliems partneriams dalyvauti projekte, buvo tikslinamas tiek projektinis pasiūlymas, tiek ir paraiška. Finansavimo sutartis pasirašyta 2021-06. Išlaidų ŠRATC dar nedeklaravo, vyksta projektavimas. Lėšos nepanaudotos dėl vėliau nei planuota prasidėjusių viešųjų pirkimų procedūrų.</t>
  </si>
  <si>
    <t>Nepavyko tiksliai numatyti lėšų poreikio, taip pat yra paimtas Projekto avansas, kuris dar nėra užskaitytas. Projekto partneris Lietuvos kariuomenė prieš kiekvieną mokėjimo prašymą pateikia patikslintą grafiką su planuojamais atlikti darbais ir sumomis. Kiekvieną kartą sumos koreguojasi pagal faktiškai atliktus darbus, tačiau planuoti rezultatai pasiekti.  Lėšos nepanaudotos dėl rangos darbų vidinio grafiko vėlavimo.</t>
  </si>
  <si>
    <t>Rodiklis skaičiuojamas teikiant galutinį mokėjimo prašymą. Rangos darbams užsitęsus dėl atsiradusių nenumatytų darbų bei dėl Šiaulių miesto savivaldybės priimtų sprendimų dėl fontano sprendinių keitimo, rangos darbų pabaiga ir galutinio mokėjimo prašymo pateikimas nusikėlė į 2022 m.</t>
  </si>
  <si>
    <t>Fiziniai darbai užbaigti, tačiau dar nėra pilnai atsiskaityta už atliktus darbus, neišmokėti sulaikyti pinigai. Lėšų nepanaudojimo priežastis - dėl rangos paslaugų vėlavimo.</t>
  </si>
  <si>
    <t>Atlikti Talkšos ežero pakrantės sutvarkymo darbai: įrengti nauji asfalto dangos takai; įrengta nauja automobilių stovėjimo aikštelė; įrengtas naujas apšvietimas; įrengta nauja šunų dresiravimo ir vedžiojimo aikštelė; įrengtas naujas treniruoklių kompleksas; įrengtas naujas vaikų žaidimų įrenginių ir muzikos instrumentų kompleksas; įrengtos 3 vaizdo stebėjimo kameros; įrengtos 4 persirengimo kabinos; įrengti 2 stacionarūs WC su dušais; įrengtos 3 aikštelės su visomis komunikacijomis komerciniams įrenginiams; įrengti 25 suolai su atlošu; įrengti 13 suolų be atlošo; įrengti 16 šezlongų; įrengti 5 stalai su suolais pikniko zonose; įrengtos 3 kepsninės; įrengti 2 lauko stalo teniso stalai; įrengti 33 šiukšliadėžės (3 iš jų gyvūnų ekskrementams); įrengti žiūronai.</t>
  </si>
  <si>
    <t>Lėšos nepanaudotos, kadangi mažai gauta paraiškų bei 4 verslo projektų dalyviai dėl neaiškios Covid-19 pandemijos situacijos rinkoje nusprendė sutarčių dėl paramos nepasirašyti. 
Lėšų nepanaudojimo priežastis 2021 m. - sutaupyta dėl poreikio nebuvimo.</t>
  </si>
  <si>
    <t>Lėšų panaudojimas persikėlė į III ketvirtį, kadangi ne visas sąskaitas rangovas spėjo pateikti birželio mėnesį. Taip pat iš skirtų lėšų bus sumokėtos sulaikytos pagal sutartį sumos už 2020 - 2021 metų darbus.
Lėšų neliks, o gali būti papildomas lėšų poreikis apie 100 tūkst. Eur, kadangi eigoje atsirado nenumatytų lėšų poreikis: darbų vykdymo metu buvo parengta 15 pakeitimų, kurių papildomų darbų vertė - 72 357,88 Eur; dangos stiprumo tyrimams papildomai reikia apie 7300 Eur; už pastato zonos sutankinimo darbus papildomai reikėjo 15000, viso 94657,88 Eur.
III ketv. liko nepadegta 10 proc. sulaikytų pagal sutartį lėšų rangovui, kurios bus sumokėtos atlikus objekto registraciją (IV ketv.). Lėšų neliks.
Priemonei skirtų lėšų likutis IV ketvirtyje sutaupytas dėl poreikio nebuvimo, kuris buvo perkeltas kitos priemonės vykdymui.</t>
  </si>
  <si>
    <t>Neįvyko vienas reprezentacinis sporto renginys Tarptautinės žirgų konkūrų varžybos – Pasaulio taurės etapas. 
IV ketv. lėšos sutaupytos dėl poreikio nebuvimo.</t>
  </si>
  <si>
    <t>Dėl karantino neįvyko 1 iš 8 reprezentacinių renginių. Taip pat buvo ribojamas žiūrovų skaičius.</t>
  </si>
  <si>
    <t>Dėl koronaviruso pandemijos nevyko dalis tarptautinių varžybų.</t>
  </si>
  <si>
    <t>IV ketvirt. buvo nepanaudota 161,2 tūkst. Eur. Iš jų: 34,5 tūkst. Eur, nes buvo sutaupyta dėl poreikio nebuvimo (5), 45,8 tūkst. Eur buvo sutaupyti dėl COVID-19 pandemijos (6). Dėl remonto ir kitų priežasčių nebuvo surinktas mokestis už paslaugas bei nario mokestis 80,9 tūkst. Eur.</t>
  </si>
  <si>
    <t>Lėšos nepanaudotos, nes buvo sutaupyta (paslaugos nupirktos pigiau) (4), 25,0 tūkst. Eur - galutinis mokėjimas numatytas 2022 m.</t>
  </si>
  <si>
    <t>Dėl koronaviruso pandemijos neįvyko dalis fizinio aktyvumo veiklų.</t>
  </si>
  <si>
    <t>Sutaupyta dėl COVID-19 pandemijos (VUŠA ir ŠVK grąžino dalį nepanaudotų STEAM lėšų).</t>
  </si>
  <si>
    <t>Lėšos sutaupytos dėl poreikio nebuvimo. 
67,6 procentai sutaupytų lėšų yra kitos įstaigų lėšos (parama, labdara, rėmėjų lėšos).
4,1 procentas nepanaudotų lėšų yra savivaldybės biudžeto lėšos.
3,4 procento nepanaudotų lėšų yra valstybės biudžeto lėšos.
24,7 procentai nepanaudotų lėšų yra įstaigų pajamų lėšos.</t>
  </si>
  <si>
    <t>Dėl Covid 19 pandemijos mokymai nevyko.</t>
  </si>
  <si>
    <t>Lėšos sutaupytos dėl poreikio nebuvimo.
34,6 procentus nepanaudotų lėšų sudaro NVŠ (15 €) nepanaudotos VB lėšos.
34,0 procentus sutaupytų lėšų sudaro kitos įstaigų lėšos (parama, rėmėjų lėšos).
27,2 procento nepanaudotų lėšų sudaro įstaigų pajamų lėšos.</t>
  </si>
  <si>
    <t>Likusių baldų pirkimai neįvyko 5 kartus. Šiuo metu vėl vykdomas pirkimas (apie 20,0 tūkst. Eur). Laukiama kol bus pristatyta salės įgarsinimo įranga (apie 4 tūkst. Eur), 2022 m. bus perkamos indaplovės ir perkusijos rinkiniai (apie 1,5 tūkst. Eur). Jei pirkimai įvyks sklandžiai ir visos pasirašytos sutartys bus vykdomos tinkamai, planuojama panaudoti lėšas 2022 m. I pusėje. Dalis ES ir SB lėšų bus atstatytos po MP patvirtinimo (preliminariai - kovo mėn.). Lėšų nepanaudojimo priežastys: 44,3 tūkst. Eur (dėl viešųjų konkursų, įrangos pirkimo procedūrų vėlavimo), 33,4 tūkst. Eur (sutaupyta - paslaugos, prekės nupirktos pigiau), 13,4 tūkst. Eur (ilgiau nei planuota vyksta aiškinimasis su agentūra dėl išlaidų tinkamumo).</t>
  </si>
  <si>
    <t>Ilgiau nei planuota užtrukus medicininės įrangos pirkimo konkursams projekto veiklų įgyvendinimo terminas buvo nukeltas į 2022 m. Medicininės įrangos pirkimai skaidant į dalis skelbiami pakartotinai, tačiau dar nepavyko sudaryti sutarčių dėl visos medicininės įrangos įsigijimo. Lėšų nepanaudojimo priežastis - dėl medicininės įrangos pirkimo procedūrų vėlavimo.</t>
  </si>
  <si>
    <t>Mokama pagal faktiškai suteiktas paslaugas. Suplanuota daugiau lėšų nei faktiškai suteikta paslaugų. 2021-11-17 pateikus mokėjimo prašymą ESFA, įvertinus realų poreikį, projektas pratęstas iki 2022-02-28. Lėšos nepanaudotos dėl poreikio nebuvimo.</t>
  </si>
  <si>
    <t>Nepanaudotų lėšų likutis 9,1 tūkst. Eur bus panaudotas 2022 m. pagal 2021 m. gruodžio mėn. pasirašytą sutartį socialinių paslaugų viešinimui Šiaulių mieste (dėl viešųjų konkursų procedūrų); 
Nepanaudotų lėšų likutis 19,2 tūkst. Eur bus panaudota 2022 m. pagal 2021 m. gruodžio mėn. pasirašytą sutartį dėl pavėžėjimo su pagalba paslaugos teikimo asmenims su negalia (dėl viešųjų konkursų procedūrų);
Nepanaudotų lėšų likutis 8,6 tūkst. Eur (asmeninės pagalbos asmenims su negalia paslaugos teikimui): priežastis - dėl poreikio nebuvimo.</t>
  </si>
  <si>
    <t>Mokama pagal faktiškai suteiktas paslaugas. Vasaros metu mokymų intensyvumas buvo sumažėjęs. Nepanaudoti pinigai perkeliami į 2022 metus, kadangi projekto veiklos tęsiamos toliau. Lėšos nepanaudotos dėl poreikio nebuvimo.</t>
  </si>
  <si>
    <t>Statybos darbai nakvynės namų paslaugoms teikti (Kauno g. 6) baigti. Nepanaudotų lėšų likutis statybos darbams laikino apgyvendinimo paslaugoms teikti (Tiesos g. 3) perkeltas į 2022 m.</t>
  </si>
  <si>
    <t>Viešinimo kampanijos, teisinių ir psichologų konsultacijų pirkimai įvyko tik po pakartotinių pirkimų, sutartys pasirašytos  antroje metų pusėje, kas įtakoja mažesni lėšų panaudojimą 2021 metais . Remonto darbai pirkti pigiau nei planuota (20,0 tūkst. Eur, kuriuos bus prašoma perskirstyti kitoms projekto veikloms). Už parengtą darbo su jaunimu gatvėje metodiką sumokėta tik dalis sutarties vertės, likusi suma bus apmokėta baigus vykdyti metodikos pritaikymo pilotą ir pagal pateiktas pastabas rengėjams ją pakoregavus 2022 m. Dėl pandemijos neįvyko planuoti patirties mainų vizitai. Nepanaudotos lėšos kelsis i 2022 metus. Lėšų nepanaudojimo priežastys: 32,8 tūkst. Eur (dėl viešųjų konkursų, įrangos pirkimo procedūrų vėlavimo), 20,0 tūkst. Eur (sutaupyta rangos darbus nupirkus pigiau).</t>
  </si>
  <si>
    <t>Lėšos buvo suplanuotos Šiaulių miesto savivaldybės globos namų (Energetikų g. 20A) stogo ir gyvenamųjų patalpų remonto darbams. Dėl tiekėjų pasiūlytos per didelės kainos tris kartus neįvyko viešųjų pirkimų konkursai. Lapkričio mėnesio Savivaldybės taryboje pritarus papildomų lėšų skyrimui, buvo inicijuotas dar vienas viešasis pirkimas. Pasibaigus viešųjų pirkimų procedūroms, rangos darbai bus pradėti 2022 metais, todėl nepanaudotos lėšos su įsipareigojimu buvo perkeltos į 2022 m.</t>
  </si>
  <si>
    <t>2021 m. pabaigoje kilo šildymo kainos, paskelbtos ekstremalios situacijos metu yra nevertinamas turtas, anksti prasidėjo šildymo sezonas, buvo planuota panaudoti lėšas 100 proc. Klientų skaičius spalio mėn. ženkliai augo. Per 2021 m. spalio mėn. buvo priimti 3188 prašymai. Spalio ir lapkričio mėn. oro temperatūra buvo sąlyginai aukšta ir kompensacija daliai klientų neprisitaikė, nes mokėtina suma neviršijo 10 proc. pajamų arba kompensuojamos sumos buvo labai mažos. Už 2021 m. spalio mėn. kompensacijų suma sudarė 19,0 tūkst. Eur, už gruodžio mėn.60,0 tūkst. Eur, todėl 8 proc. numatytų lėšų liko nepanaudotos.
2021 m. gruodžio mėn.(už kurį mokama 2022 M. sausio mėn.), pakilus neigiamai oro temperatūrai kompensacijų suma sudarė 166,0 tūkst. Eur. Sutaupyta dėl poreikio nebuvimo.</t>
  </si>
  <si>
    <t>Architektūros skyriaus vykdomo Šiaulių miesto Dainų parko vizualinio dendrologinio ženklo įrengimo projekto konkursai neįvyko, nebuvo dalyvių, jokie darbai 2021 m. I ketvirtyje nebuvo atlikti.
II -ame 2021 m. ketvirtyje buvo paskelbti viešieji pirkimai 4 kartus, bet jie neįvyko ir lėšos nebuvo įsisavintos, kadangi viešieji pirkimai neįvyko (nepateikė dalyviai paraiškų).</t>
  </si>
  <si>
    <t>II ketvirtį lėšų nebuvo suplanuota. Iš I ketvirčio liko nepanaudotas 1000 Eur, nes verslumo skatinimo renginiui lėšų neprireikė.
III ketv. Lėšos nepanaudotos, nes antrąjį verslumo skatinimo renginį pavyko suorganizuoti nemokamai. Taip pat šiais metais dėl Covid-19 nevyks verslo ir pasiekimų paroda "Šiauliai 2021".</t>
  </si>
  <si>
    <t>Sutaupyta dėl COVID-19. (Dėl Covid-19 pandemijos tiekėjas atsisakė vykdyti programą).</t>
  </si>
  <si>
    <t>Detaliojo plano Rengėjai pateikė raštą, kad Rengėjas apibendrines esamos būklės analizės duomenis susidūrė su nenumatytomis problemomis indentifikuojant teritorijoje esančių įregistruotų ir turinčių unikalius numerius inžinerinių statinių vietą ir nuosavybę. Dėl šios priežasties galimai Rengėjas nespės laiku atlikti paslaugos. Paslaugos užbaigimo terminas numatytas 2022-04-16.</t>
  </si>
  <si>
    <t>Nebuvo poreikio kreiptis į teismą.</t>
  </si>
  <si>
    <t>PATVIRTINTA</t>
  </si>
  <si>
    <t xml:space="preserve">Šiaulių miesto savivaldybės tarybos </t>
  </si>
  <si>
    <t>Šiaulių miesto savivaldybės administracijos direktoriaus ir</t>
  </si>
  <si>
    <t xml:space="preserve">Šiaulių miesto savivaldybės administracijos </t>
  </si>
  <si>
    <t>2021 metų veiklos ataskaitos 1 priedas</t>
  </si>
  <si>
    <t>2021 m.. įvykdymo proc.</t>
  </si>
  <si>
    <t>Sutvarkyta buvusios 4-osios garažų bendrijos teritorija, esanti adresu Žemoji g., taip pat vykdytas šiukšlių išvežimas iš 3-osios metalinių garažų teritorijos Gegužių g. bei 1-osios metalinių garažų teritorijos Žemaitės g.</t>
  </si>
  <si>
    <t>2021 m. patikslinti asignavimai</t>
  </si>
  <si>
    <t>2021 m. kasinės išlaidos</t>
  </si>
  <si>
    <t>Asignavimų likutis nuo 2021 m. patikslintų asignavimų</t>
  </si>
  <si>
    <t xml:space="preserve">2021 m. kasinės išlaidos </t>
  </si>
  <si>
    <t>2021  m.</t>
  </si>
  <si>
    <r>
      <rPr>
        <sz val="12"/>
        <rFont val="Times New Roman"/>
        <family val="1"/>
        <charset val="186"/>
      </rPr>
      <t>Detaliajam planui (2021-09-27 sutartis Nr. SŽ-1097) 2021-12-30 gautas VTPSI raštas Nr. REG205633 dėl detaliojo plano tikrinimo nutraukimo (K-VT-29-21-379).</t>
    </r>
    <r>
      <rPr>
        <sz val="12"/>
        <color rgb="FFFF0000"/>
        <rFont val="Times New Roman"/>
        <family val="1"/>
        <charset val="186"/>
      </rPr>
      <t xml:space="preserve"> </t>
    </r>
    <r>
      <rPr>
        <sz val="12"/>
        <color rgb="FF000000"/>
        <rFont val="Times New Roman"/>
        <family val="1"/>
        <charset val="186"/>
      </rPr>
      <t>Antrojo detaliojo plano pabaiga numatyta 2022 m.</t>
    </r>
  </si>
  <si>
    <r>
      <t xml:space="preserve"> Buvo parengti Tarybos sprendimai pritarimui, tačiau Žemės paėmimo visuomenės poreikiams projektas </t>
    </r>
    <r>
      <rPr>
        <sz val="12"/>
        <rFont val="Times New Roman"/>
        <family val="1"/>
        <charset val="186"/>
      </rPr>
      <t xml:space="preserve">2021 m. </t>
    </r>
    <r>
      <rPr>
        <sz val="12"/>
        <color rgb="FF000000"/>
        <rFont val="Times New Roman"/>
        <family val="1"/>
        <charset val="186"/>
      </rPr>
      <t>nebus rengiamas, nes VTPSI nurodymu kartojamos procedūros teritorijų planavimo dokumentui parengti.</t>
    </r>
  </si>
  <si>
    <r>
      <rPr>
        <sz val="12"/>
        <rFont val="Times New Roman"/>
        <family val="1"/>
        <charset val="186"/>
      </rPr>
      <t xml:space="preserve">Parengta 38 kadastrinių matavimų bylų, 38 Žemės sklypų formavimo ir pertvarkymo projektai. Atlikti veiksmai Registrų centre (žemės sklypų, servitutų įregistravimas, kadastro duomenų keitimas ir kt).   </t>
    </r>
    <r>
      <rPr>
        <sz val="12"/>
        <color rgb="FFFF0000"/>
        <rFont val="Times New Roman"/>
        <family val="1"/>
        <charset val="186"/>
      </rPr>
      <t xml:space="preserve">             </t>
    </r>
  </si>
  <si>
    <r>
      <rPr>
        <sz val="12"/>
        <rFont val="Times New Roman"/>
        <family val="1"/>
        <charset val="186"/>
      </rPr>
      <t xml:space="preserve">Lėšos sutaupytos </t>
    </r>
    <r>
      <rPr>
        <sz val="12"/>
        <color rgb="FF000000"/>
        <rFont val="Times New Roman"/>
        <family val="1"/>
        <charset val="186"/>
      </rPr>
      <t xml:space="preserve">dėl Projektuotojo darbų vėlavimo. Paslaugų teikėjas neparengė techninio projekto,  nepateikė garanto pratęsimo, dėl </t>
    </r>
    <r>
      <rPr>
        <sz val="12"/>
        <rFont val="Times New Roman"/>
        <family val="1"/>
        <charset val="186"/>
      </rPr>
      <t xml:space="preserve">ko </t>
    </r>
    <r>
      <rPr>
        <sz val="12"/>
        <color rgb="FF000000"/>
        <rFont val="Times New Roman"/>
        <family val="1"/>
        <charset val="186"/>
      </rPr>
      <t>sutartis nutraukta.</t>
    </r>
  </si>
  <si>
    <r>
      <rPr>
        <sz val="12"/>
        <rFont val="Times New Roman"/>
        <family val="1"/>
        <charset val="186"/>
      </rPr>
      <t xml:space="preserve">Neįgyvendinta ir lėšos nepanaudotos </t>
    </r>
    <r>
      <rPr>
        <sz val="12"/>
        <color rgb="FF000000"/>
        <rFont val="Times New Roman"/>
        <family val="1"/>
        <charset val="186"/>
      </rPr>
      <t>dėl poreikio nebuvimo.</t>
    </r>
  </si>
  <si>
    <r>
      <rPr>
        <sz val="12"/>
        <rFont val="Times New Roman"/>
        <family val="1"/>
        <charset val="186"/>
      </rPr>
      <t xml:space="preserve">Lėšos </t>
    </r>
    <r>
      <rPr>
        <sz val="12"/>
        <color rgb="FF000000"/>
        <rFont val="Times New Roman"/>
        <family val="1"/>
        <charset val="186"/>
      </rPr>
      <t>sutaupytos, nes paslaugos nupirktos pigiau</t>
    </r>
  </si>
  <si>
    <r>
      <t>Parengtos  topografinės nuotraukos: Jablonskio g. ir Radviliškio g. 49, Dainų tako ir P. Motiekaičio g. 15  bei</t>
    </r>
    <r>
      <rPr>
        <sz val="12"/>
        <color rgb="FFFF0000"/>
        <rFont val="Times New Roman"/>
        <family val="1"/>
        <charset val="186"/>
      </rPr>
      <t xml:space="preserve"> </t>
    </r>
    <r>
      <rPr>
        <sz val="12"/>
        <color rgb="FF000000"/>
        <rFont val="Times New Roman"/>
        <family val="1"/>
        <charset val="186"/>
      </rPr>
      <t xml:space="preserve">Aukštosios g. </t>
    </r>
  </si>
  <si>
    <r>
      <t xml:space="preserve">35,2 tūkst. Eur </t>
    </r>
    <r>
      <rPr>
        <sz val="12"/>
        <rFont val="Times New Roman"/>
        <family val="1"/>
        <charset val="186"/>
      </rPr>
      <t xml:space="preserve">nepanaudota </t>
    </r>
    <r>
      <rPr>
        <sz val="12"/>
        <color rgb="FF000000"/>
        <rFont val="Times New Roman"/>
        <family val="1"/>
        <charset val="186"/>
      </rPr>
      <t xml:space="preserve"> dėl COVID-19 pandemijos(6) - veiklos vyko su apribojimais;
4,8 tūkst. Eur  </t>
    </r>
    <r>
      <rPr>
        <sz val="12"/>
        <rFont val="Times New Roman"/>
        <family val="1"/>
        <charset val="186"/>
      </rPr>
      <t>nepanaudota</t>
    </r>
    <r>
      <rPr>
        <sz val="12"/>
        <color rgb="FF000000"/>
        <rFont val="Times New Roman"/>
        <family val="1"/>
        <charset val="186"/>
      </rPr>
      <t xml:space="preserve"> dėl poreikio nebuvimo (5);
3,6 tūkst. Eur - negautos pajamos už teikiamas paslaugas.</t>
    </r>
  </si>
  <si>
    <r>
      <t>50,6 tūkst. Eur</t>
    </r>
    <r>
      <rPr>
        <sz val="12"/>
        <color rgb="FFFF0000"/>
        <rFont val="Times New Roman"/>
        <family val="1"/>
        <charset val="186"/>
      </rPr>
      <t xml:space="preserve"> </t>
    </r>
    <r>
      <rPr>
        <sz val="12"/>
        <rFont val="Times New Roman"/>
        <family val="1"/>
        <charset val="186"/>
      </rPr>
      <t>nepanaudota</t>
    </r>
    <r>
      <rPr>
        <sz val="12"/>
        <color rgb="FF000000"/>
        <rFont val="Times New Roman"/>
        <family val="1"/>
        <charset val="186"/>
      </rPr>
      <t xml:space="preserve"> dėl COVID-19 pandemijos - dalis darbuotojų buvo prastovose, veiklos vyko su apribojimais, didžioji dalis gautų pajamų už teikiamas paslaugas gautos lapkričio-gruodžio mėn., todėl tikslingai ir laiku panaudoti lėšas nebuvo galimybės;
18,0 tūkst. Eur  - negautos pajamos už teikiamas paslaugas.</t>
    </r>
  </si>
  <si>
    <r>
      <t>VšĮ Centrine projektų valdymo agentūra buvo derinami galutiniai atliktų darbų kiekiai. Buvo vykdomi pakartotiniai atliktų darbų vertinimai ir matavimai. Informacija pateikta VšĮ Centrinei projektų valdymo agentūrai 2021 m. rugsėjo mėnesį. Atsakymas dėl pritarimo/nepritarimo darbų kiekiams dar negautas.</t>
    </r>
    <r>
      <rPr>
        <sz val="12"/>
        <color rgb="FFFF0000"/>
        <rFont val="Times New Roman"/>
        <family val="1"/>
        <charset val="186"/>
      </rPr>
      <t xml:space="preserve"> </t>
    </r>
    <r>
      <rPr>
        <sz val="12"/>
        <rFont val="Times New Roman"/>
        <family val="1"/>
        <charset val="186"/>
      </rPr>
      <t>Lėšos nepanaudotos dėl gauto ir nepenaudoto avanso.</t>
    </r>
  </si>
  <si>
    <r>
      <t xml:space="preserve">Dėl rangos darbų vėlavimo </t>
    </r>
    <r>
      <rPr>
        <sz val="12"/>
        <rFont val="Times New Roman"/>
        <family val="1"/>
        <charset val="186"/>
      </rPr>
      <t>vykdant projektą nepradėti  rekonstravimo darbai: lauko vandentiekio tinklų įrengimas, lauko lietaus nuotekų įrengimas, lauko buitinių nuotekų tinklų įrengimas, buitinių nuotekų iš rūsio patalpų įrengimas. Yra pradėta, tačiau atsiliekama nuo grafiko: lauko šilumos tinklų  įrengimas. Vyksta pasitarimai  su rangovais ir statybų priežiūros specialistais.</t>
    </r>
  </si>
  <si>
    <r>
      <rPr>
        <sz val="12"/>
        <rFont val="Times New Roman"/>
        <family val="1"/>
        <charset val="186"/>
      </rPr>
      <t>Lėšos neįsisavintos dėl viešųjų konkursų, įrangos pirkimo procedūrų vėlavimo. Dėl baldus gaminančio paslaugų teikėjo sutartinių įsipareigojimų nevykdymo - užsitęsusių darbų, nekokybiškų baldų (broko), kurie yra iš naujo gaminami, veikla naujose patalpose prasidės 2022 m. I ketv.</t>
    </r>
    <r>
      <rPr>
        <sz val="12"/>
        <color rgb="FFFF0000"/>
        <rFont val="Times New Roman"/>
        <family val="1"/>
        <charset val="186"/>
      </rPr>
      <t xml:space="preserve">  
</t>
    </r>
  </si>
  <si>
    <r>
      <rPr>
        <sz val="12"/>
        <rFont val="Times New Roman"/>
        <family val="1"/>
        <charset val="186"/>
      </rPr>
      <t>Lėšos nepanaudotos</t>
    </r>
    <r>
      <rPr>
        <sz val="12"/>
        <color rgb="FF000000"/>
        <rFont val="Times New Roman"/>
        <family val="1"/>
        <charset val="186"/>
      </rPr>
      <t xml:space="preserve"> dėl COVID-19 pandemijos (6). Dėl COVID-19 vėlavo vadovaujančiojo projekto partnerio - Jelgavos miesto savivaldybės - darbai. Pavėluotai parengta Galimybių studija, be jos nebuvo galima kurti vizualinio identiteto koncepcijos, formuoti maršrutų, organizuoti susirinkimų ir vykdyti kitų veiklų, kurios nukeltos į 2022 m.</t>
    </r>
  </si>
  <si>
    <r>
      <t xml:space="preserve">Visos metų pradžioje skirtos 70 tūkst. eur lėšos panaudotos. Metų eigoje papildomai pridėta 10 tūkst. eur, liko pilnai nepanaudotos. </t>
    </r>
    <r>
      <rPr>
        <sz val="12"/>
        <color rgb="FFFF0000"/>
        <rFont val="Times New Roman"/>
        <family val="1"/>
        <charset val="186"/>
      </rPr>
      <t xml:space="preserve"> </t>
    </r>
  </si>
  <si>
    <r>
      <t>Įrengta vandentiekio ir nuotekų infrastruktūra. Fiziniai rangos darbai užbaigti. Į 2022 m. persikėlė objekto užbaigimo ir įregistravimo procedūros.</t>
    </r>
    <r>
      <rPr>
        <strike/>
        <sz val="12"/>
        <color rgb="FF000000"/>
        <rFont val="Times New Roman"/>
        <family val="1"/>
        <charset val="186"/>
      </rPr>
      <t xml:space="preserve"> </t>
    </r>
  </si>
  <si>
    <r>
      <rPr>
        <sz val="12"/>
        <rFont val="Times New Roman"/>
        <family val="1"/>
        <charset val="186"/>
      </rPr>
      <t>Sutaupytos lėšos,</t>
    </r>
    <r>
      <rPr>
        <sz val="12"/>
        <color rgb="FF000000"/>
        <rFont val="Times New Roman"/>
        <family val="1"/>
        <charset val="186"/>
      </rPr>
      <t xml:space="preserve"> nes nupirkta paslauga pigiau nei planuota.</t>
    </r>
  </si>
  <si>
    <r>
      <t xml:space="preserve">Gauta tik viena paraiška, nes projektų vertinimo komisija nusprendė visos projektui prašomos lėšų sumos neskirti, </t>
    </r>
    <r>
      <rPr>
        <sz val="12"/>
        <rFont val="Times New Roman"/>
        <family val="1"/>
        <charset val="186"/>
      </rPr>
      <t xml:space="preserve">kadangi </t>
    </r>
    <r>
      <rPr>
        <sz val="12"/>
        <color rgb="FF000000"/>
        <rFont val="Times New Roman"/>
        <family val="1"/>
        <charset val="186"/>
      </rPr>
      <t>projektas nepilnai išplėtojo prioritetinę temą - maisto atliekų tvarkymą.</t>
    </r>
  </si>
  <si>
    <r>
      <t xml:space="preserve">Dėl viešojo konkurso pirkimo procedūrų vėlavimo </t>
    </r>
    <r>
      <rPr>
        <sz val="12"/>
        <color rgb="FFFF0000"/>
        <rFont val="Times New Roman"/>
        <family val="1"/>
        <charset val="186"/>
      </rPr>
      <t xml:space="preserve"> </t>
    </r>
    <r>
      <rPr>
        <sz val="12"/>
        <rFont val="Times New Roman"/>
        <family val="1"/>
        <charset val="186"/>
      </rPr>
      <t>neparengtas planas ir nepanaudotos lėšos, kurios perkeltos į 2022 metus.</t>
    </r>
  </si>
  <si>
    <r>
      <rPr>
        <sz val="12"/>
        <rFont val="Times New Roman"/>
        <family val="1"/>
        <charset val="186"/>
      </rPr>
      <t xml:space="preserve">Atlikta </t>
    </r>
    <r>
      <rPr>
        <strike/>
        <sz val="12"/>
        <color rgb="FF000000"/>
        <rFont val="Times New Roman"/>
        <family val="1"/>
        <charset val="186"/>
      </rPr>
      <t xml:space="preserve"> </t>
    </r>
    <r>
      <rPr>
        <sz val="12"/>
        <color rgb="FF000000"/>
        <rFont val="Times New Roman"/>
        <family val="1"/>
        <charset val="186"/>
      </rPr>
      <t xml:space="preserve">6-ių šunų vedžiojimo aikštelių priežiūrai (žolės pjovimas, sanitarinis valymas, sniego nukasimas, įrangos nuvalymas, šiukšlių maišelių keitimas) ir   profilaktinė patikra;
</t>
    </r>
  </si>
  <si>
    <r>
      <rPr>
        <sz val="12"/>
        <rFont val="Times New Roman"/>
        <family val="1"/>
        <charset val="186"/>
      </rPr>
      <t>Lėšos nepanaudotos,</t>
    </r>
    <r>
      <rPr>
        <sz val="12"/>
        <color rgb="FFFF0000"/>
        <rFont val="Times New Roman"/>
        <family val="1"/>
        <charset val="186"/>
      </rPr>
      <t xml:space="preserve"> </t>
    </r>
    <r>
      <rPr>
        <sz val="12"/>
        <rFont val="Times New Roman"/>
        <family val="1"/>
        <charset val="186"/>
      </rPr>
      <t>su</t>
    </r>
    <r>
      <rPr>
        <sz val="12"/>
        <color rgb="FF000000"/>
        <rFont val="Times New Roman"/>
        <family val="1"/>
        <charset val="186"/>
      </rPr>
      <t>taupytos dėl poreikio nebuvimo.</t>
    </r>
  </si>
  <si>
    <r>
      <t>Atliekami šunų išvedžiojimo aikštelių remonto ir modernizavimo darbai:</t>
    </r>
    <r>
      <rPr>
        <sz val="12"/>
        <rFont val="Times New Roman"/>
        <family val="1"/>
        <charset val="186"/>
      </rPr>
      <t xml:space="preserve"> įrengt</t>
    </r>
    <r>
      <rPr>
        <sz val="12"/>
        <color rgb="FF000000"/>
        <rFont val="Times New Roman"/>
        <family val="1"/>
        <charset val="186"/>
      </rPr>
      <t>a nauja šunų vedžiojimo aikštelė Zoknių mikrorajone, sena demont</t>
    </r>
    <r>
      <rPr>
        <sz val="12"/>
        <rFont val="Times New Roman"/>
        <family val="1"/>
        <charset val="186"/>
      </rPr>
      <t>uota,</t>
    </r>
    <r>
      <rPr>
        <sz val="12"/>
        <color rgb="FF000000"/>
        <rFont val="Times New Roman"/>
        <family val="1"/>
        <charset val="186"/>
      </rPr>
      <t xml:space="preserve">
šunų vedžiojimo aikštelių remonto darbai (šiukšlių dėžių įrengimas, tinklo remontas ir kt.).</t>
    </r>
  </si>
  <si>
    <r>
      <t xml:space="preserve">Gavus Europos Sąjungos lėšas atstatytos anksčiau patirtos Savivaldybės biudžeto išlaidos. Lėšų nepanaudojimo priežastys: 3,7 tūkst. Eur (sutaupyta dėl poreikio nebuvimo), 1,7 tūkst. Eur </t>
    </r>
    <r>
      <rPr>
        <strike/>
        <sz val="12"/>
        <rFont val="Times New Roman"/>
        <family val="1"/>
        <charset val="186"/>
      </rPr>
      <t>kita</t>
    </r>
    <r>
      <rPr>
        <sz val="12"/>
        <rFont val="Times New Roman"/>
        <family val="1"/>
        <charset val="186"/>
      </rPr>
      <t xml:space="preserve"> - suplanuota daugiau ES ir VB lėšų nei finansavimo sutartyje.</t>
    </r>
  </si>
  <si>
    <r>
      <t xml:space="preserve">Buvo planuojama, kad Didždvario parko ir Centrinio parko III ir IV etapų rangos darbai bus pradėti metų pradžioje, tačiau, kadangi abu konkursus teko skelbti pakartotinai, sutartys sudarytos ir rangos darbų vykdymas pradėtas vėliau nei planuota, dėl to lėšų panaudota mažiau nei planuota. Tačiau, kadangi Didždvario parko rangos darbai buvo įsigyti pigiau nei buvo suplanuota lėšų (sumažėjo bendra vertė), rangos darbų įvykdymo procentas kiek viršija planuotą rangos darbų atlikimo procentą. Lėšų nepanaudojimo priežastis - </t>
    </r>
    <r>
      <rPr>
        <sz val="12"/>
        <rFont val="Times New Roman"/>
        <family val="1"/>
        <charset val="186"/>
      </rPr>
      <t>dėl viešųjų konkursų, įrangos pirkimo procedūrų vėlavimo.</t>
    </r>
  </si>
  <si>
    <r>
      <t>Apmokėtos rangos darbų sąskaitos, darbai baigti</t>
    </r>
    <r>
      <rPr>
        <sz val="12"/>
        <color rgb="FFFF0000"/>
        <rFont val="Times New Roman"/>
        <family val="1"/>
        <charset val="186"/>
      </rPr>
      <t>.</t>
    </r>
  </si>
  <si>
    <r>
      <t>Rangos darbai pilnai pabaigti, užsitęsus pridavimo procedūroms sulaikytų pinigų išmokėjimas persikėlė į 2022 m. Lėšų nepanaudojimo priežastis -</t>
    </r>
    <r>
      <rPr>
        <sz val="12"/>
        <color rgb="FFFF0000"/>
        <rFont val="Times New Roman"/>
        <family val="1"/>
        <charset val="186"/>
      </rPr>
      <t xml:space="preserve"> </t>
    </r>
    <r>
      <rPr>
        <sz val="12"/>
        <rFont val="Times New Roman"/>
        <family val="1"/>
        <charset val="186"/>
      </rPr>
      <t>dėl rangos paslaugų vėlavimo</t>
    </r>
    <r>
      <rPr>
        <sz val="12"/>
        <color rgb="FF000000"/>
        <rFont val="Times New Roman"/>
        <family val="1"/>
        <charset val="186"/>
      </rPr>
      <t>.</t>
    </r>
  </si>
  <si>
    <r>
      <t xml:space="preserve">Planuojant 2021 m. biudžetą, planuota rangos darbų pirkimą pradėti vykdyti metų pradžioje, tačiau kilus neaiškumams dėl galimybės skirti didelę prisidėjimo dalį prie projekto, konkursas buvo nutrauktas, naujas rangos darbų pirkimo konkursas pradėtas liepos mėn., todėl rangos darbų sutartis sudaryta tik 2021-10-08, dėl to nespėta panaudoti tiek lėšų, kiek planuota planuojant 2021 m. biudžetą. 2021 m. nepanaudotos lėšos keliasi ir bus panaudotos 2022 m. Lėšų nepanaudojimo priežastis - </t>
    </r>
    <r>
      <rPr>
        <sz val="12"/>
        <rFont val="Times New Roman"/>
        <family val="1"/>
        <charset val="186"/>
      </rPr>
      <t>dėl viešųjų konkursų, įrangos pirkimo procedūrų vėlavimo.</t>
    </r>
  </si>
  <si>
    <r>
      <t>Gautas statybos užbaigimo dokumentas, tačiau mokėjimo prašymas nėra teikiamas kol nebus atlikta patikra vietoje po projekto užbaigimo. Tvarkomi dokumentai dėl papildomo finansavimo (55,8 tūkst. Eur) gavimo. Jei bus skirtas papildomas finansavimas, bus didinamas finansavimo intensyvumas (atliekamas finansavimo sutarties keitimas), todėl GMP teikti kol kas negalime. Su CPVA derinamas papildomo (tarpinio) MP pateikimas. Lėšų nepanaudojimo priežastis - lėšos dėl administracinių procedūrų dar nėra gautos ir patirtos išlaidos neatstatytos</t>
    </r>
    <r>
      <rPr>
        <strike/>
        <sz val="12"/>
        <rFont val="Times New Roman"/>
        <family val="1"/>
        <charset val="186"/>
      </rPr>
      <t>)</t>
    </r>
    <r>
      <rPr>
        <sz val="12"/>
        <rFont val="Times New Roman"/>
        <family val="1"/>
        <charset val="186"/>
      </rPr>
      <t>.</t>
    </r>
  </si>
  <si>
    <r>
      <t xml:space="preserve">2021 m. lėšos nepanaudotos dėl šių priežasčių:
Dėl rangos paslaugų vėlavimo </t>
    </r>
    <r>
      <rPr>
        <strike/>
        <sz val="12"/>
        <color rgb="FF000000"/>
        <rFont val="Times New Roman"/>
        <family val="1"/>
        <charset val="186"/>
      </rPr>
      <t>(2</t>
    </r>
    <r>
      <rPr>
        <sz val="12"/>
        <color rgb="FF000000"/>
        <rFont val="Times New Roman"/>
        <family val="1"/>
        <charset val="186"/>
      </rPr>
      <t>): 1. IV ketvirtį vandentiekio P. Motiekaičio g. 16 ir P. Motiekaičio g. 18, Šiauliai, rangos darbai nebaigti, nes nebaigta tvarkyti dokumentacija (pagal sutartį rangovai nevėluoja); 2. Radviliškio g. 49, Šiauliai, inžinerinių tinklų iškėlimas vėlavo dėl AB "Energijos skirstymo operatorius" laiku neįvykdytų įsipareigojimų (skaičiuojami delspinigiai); 3. Telia Lietuva AB užtruko kabelių iškėlimo derinimo darbai dėl prasidėjusių švenčių (Kalėdų, Naujųjų metų - Telia Lietuva, AB, rangovui neleido perjungti kabelių šventiniu laikotarpiu). Taip pat rangos darbų metu pastebėti neatitikimai projekte, dėl ko reikėjo pasirašyti du papildomus susitarimus su rangovu dėl papildomų darbų.
Dėl viešųjų konkursų, įrangos pirkimo procedūrų vėlavimo - Telia Lietuva AB priklausančių tinklų iškėlimas vėluoja, nes buvo skelbiamas pakartotinis viešasis pirkimas (nesulaukus pasiūlymų).</t>
    </r>
  </si>
  <si>
    <r>
      <t>A</t>
    </r>
    <r>
      <rPr>
        <sz val="12"/>
        <color rgb="FF000000"/>
        <rFont val="Times New Roman"/>
        <family val="1"/>
        <charset val="186"/>
      </rPr>
      <t>tlikta teisinė registracija 79 objektams, atlikti kadastro duomenų pakeitimai ir  objektų/sutarčių išregistravimas – 24 objektams.</t>
    </r>
  </si>
  <si>
    <r>
      <rPr>
        <sz val="12"/>
        <rFont val="Times New Roman"/>
        <family val="1"/>
        <charset val="186"/>
      </rPr>
      <t>Parengta 18 objektų vertinimo ataskaitų, taip pat apmokėtos 10 parduotų objektų notaro paslaugos.
2021 m. bendras parduotų objektų skaičius (vykdant viešuosius aukcionus)  - 10 vnt. Bendra pardavimo kaina - 667,94</t>
    </r>
    <r>
      <rPr>
        <strike/>
        <sz val="12"/>
        <rFont val="Times New Roman"/>
        <family val="1"/>
        <charset val="186"/>
      </rPr>
      <t>4</t>
    </r>
    <r>
      <rPr>
        <sz val="12"/>
        <rFont val="Times New Roman"/>
        <family val="1"/>
        <charset val="186"/>
      </rPr>
      <t xml:space="preserve"> tūkst. Eur.</t>
    </r>
  </si>
  <si>
    <t>Išlaidos už lietaus nuotekų ir miesto apšvietimo tinklų vertinimą.Atliktas 32 lietaus nuotekų tinklų ir 14 šviesoforų postų vertinimas.</t>
  </si>
  <si>
    <r>
      <t>Lėšos sutaupytos dėl poreikio nebuvimo (valstybės biudžeto lėšų likutis mokytojų padėjėjų etatų įsteigimui - 32,8 tūkst. Eur</t>
    </r>
    <r>
      <rPr>
        <strike/>
        <sz val="12"/>
        <color rgb="FF000000"/>
        <rFont val="Times New Roman"/>
        <family val="1"/>
        <charset val="186"/>
      </rPr>
      <t>ų</t>
    </r>
    <r>
      <rPr>
        <sz val="12"/>
        <color rgb="FF000000"/>
        <rFont val="Times New Roman"/>
        <family val="1"/>
        <charset val="186"/>
      </rPr>
      <t xml:space="preserve"> , konsultacijoms dėl Covid 19 mokymosi sunkumų patiriantiems mokiniams - 0,1 tūkst. Eur</t>
    </r>
    <r>
      <rPr>
        <strike/>
        <sz val="12"/>
        <color rgb="FF000000"/>
        <rFont val="Times New Roman"/>
        <family val="1"/>
        <charset val="186"/>
      </rPr>
      <t>ų</t>
    </r>
    <r>
      <rPr>
        <sz val="12"/>
        <color rgb="FF000000"/>
        <rFont val="Times New Roman"/>
        <family val="1"/>
        <charset val="186"/>
      </rPr>
      <t xml:space="preserve"> ).</t>
    </r>
  </si>
  <si>
    <r>
      <t xml:space="preserve">Reorganizuotos ikimokyklinės įstaigos ,,Žibutė“, ,,Ąžuoliukas“, ,,Žiburėlis“ ir ,,Pušelė“.
Lėšos sutaupytos dėl poreikio nebuvimo </t>
    </r>
    <r>
      <rPr>
        <strike/>
        <sz val="12"/>
        <rFont val="Times New Roman"/>
        <family val="1"/>
        <charset val="186"/>
      </rPr>
      <t>(Nr. 5</t>
    </r>
    <r>
      <rPr>
        <sz val="12"/>
        <rFont val="Times New Roman"/>
        <family val="1"/>
        <charset val="186"/>
      </rPr>
      <t>). 
97,7 tūkst. Eur ikimokyklinėms įstaigoms, dalyvaujančioms ekologinio maitinimo programoje, gruodžio 28 d. grąžino ŽŪM. Šios lėšos sudaro 14 procentų įstaigų nepanaudotų lėšų.
27,3 proc. lėšų likučio sudaro įstaigų kitos lėšos (parama, labdara, rėmėjų lėšos ir kt.)
4,1 procentas sutaupytų lėšų yra savivaldybės biudžeto lėšos.
54,4 procentų nepanaudotų lėšų yra įstaigų pajamų lėšos.</t>
    </r>
  </si>
  <si>
    <r>
      <t>Pateiktas papildomo finansavimo (7,2 tūkst. Eur) prašymas. Jei bus skirtos lėšos, jomis bus padengta dalis nuosavo prisidėjimo prie DG rangos darbų. Galutinis mokėjimo prašymas bus teikiamas 2022 m. balandžio mėnesį. Kartu su juo grįš dalis ES lėšų. Lėšų nepanaudojimo priežastis - lėšos dėl administracinių procedūrų  dar nėra gautos ir patirtos išlaidos neatstatytos</t>
    </r>
    <r>
      <rPr>
        <strike/>
        <sz val="12"/>
        <rFont val="Times New Roman"/>
        <family val="1"/>
        <charset val="186"/>
      </rPr>
      <t>)</t>
    </r>
    <r>
      <rPr>
        <sz val="12"/>
        <rFont val="Times New Roman"/>
        <family val="1"/>
        <charset val="186"/>
      </rPr>
      <t>.</t>
    </r>
  </si>
  <si>
    <r>
      <t>Lėšos sutaupyt</t>
    </r>
    <r>
      <rPr>
        <sz val="12"/>
        <rFont val="Times New Roman"/>
        <family val="1"/>
        <charset val="186"/>
      </rPr>
      <t>os</t>
    </r>
    <r>
      <rPr>
        <sz val="12"/>
        <color rgb="FF000000"/>
        <rFont val="Times New Roman"/>
        <family val="1"/>
        <charset val="186"/>
      </rPr>
      <t xml:space="preserve"> dėl poreikio nebuvimo.</t>
    </r>
  </si>
  <si>
    <r>
      <rPr>
        <sz val="12"/>
        <rFont val="Times New Roman"/>
        <family val="1"/>
        <charset val="186"/>
      </rPr>
      <t>Ne</t>
    </r>
    <r>
      <rPr>
        <sz val="12"/>
        <color rgb="FF000000"/>
        <rFont val="Times New Roman"/>
        <family val="1"/>
        <charset val="186"/>
      </rPr>
      <t>panaudotos KT lėšos dėl poreikio nebuvimo.</t>
    </r>
  </si>
  <si>
    <r>
      <t xml:space="preserve">Vidutiniškai kiekvienas Savivaldybės administracijos darbuotojas per 2021 m. dalyvavo daugiau kaip dvejuose mokymuose (2,35). Atsižvelgiant į Administracijos darbuotojų prioritetų sąrašą buvo suorganizuoti šie mokymai: Įvadiniai BIM mokymai, „Įvadas į ArcGIS Pro pradedantiesiems“, „Administracinių protokolų surašymas ir teisinis reglamentavimas“, „Žalieji pirkimai. Paprastai ir aiškiai“, Administracinės naštos ūkio subjektams vertinimo ataskaitos pildymo klausimais, „Vidaus kontrolės kūrimas ir užtikrinimas viešajame sektoriuje“, „Projektų vertinimas plačiąja prasme: ES, savivaldybių projektų vertinimo metodikos, finansinių kaštų nauda, socialinė nauda ir kitos naudos“. 
I-ąjį 2021 m. ketvirtį mokymuose dalyvavo 206 administracijos darbuotojai.
</t>
    </r>
    <r>
      <rPr>
        <sz val="12"/>
        <rFont val="Times New Roman"/>
        <family val="1"/>
        <charset val="186"/>
      </rPr>
      <t>II-ąjį 2021 m. ketvirtį mokymuose dalyvavo 105 administracijos darbuotojai.
III-ąjį 2021 m. ketvirtį mokymuose dalyvavo 91 administracijos darbuotojai.
IV-ąjį 2021 m. ketvirtį mokymuose dalyvavo 241 administracijos darbuotojai.
2021 m. mokymų dalyviai buvo 643 darbuotojai.</t>
    </r>
  </si>
  <si>
    <r>
      <t>Išlaidos apmokamos vadovaujantis 2006-06-08 Aukštabalio multifunkcinio komplekso eksploatavimo koncesijos suteikimo sutartimi Nr. SŽ-988.</t>
    </r>
    <r>
      <rPr>
        <sz val="12"/>
        <color rgb="FFFF0000"/>
        <rFont val="Times New Roman"/>
        <family val="1"/>
        <charset val="186"/>
      </rPr>
      <t xml:space="preserve">  </t>
    </r>
  </si>
  <si>
    <t>2022 m. gegužės 5 d. sprendimu Nr. T-186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</si>
</sst>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00\ _L_t_-;\-* #,##0.0000\ _L_t_-;_-* &quot;-&quot;??\ _L_t_-;_-@_-"/>
    <numFmt numFmtId="166" formatCode="0.0"/>
  </numFmts>
  <fonts count="19" x14ac:knownFonts="1">
    <font>
      <sz val="11"/>
      <color rgb="FF000000"/>
      <name val="Calibri"/>
      <family val="2"/>
      <charset val="1"/>
    </font>
    <font>
      <sz val="11"/>
      <color rgb="FF000000"/>
      <name val="Calibri"/>
      <family val="2"/>
      <charset val="1"/>
    </font>
    <font>
      <sz val="11"/>
      <color rgb="FF000000"/>
      <name val="Calibri"/>
      <family val="2"/>
    </font>
    <font>
      <b/>
      <sz val="12"/>
      <color rgb="FF000000"/>
      <name val="Times New Roman"/>
      <family val="1"/>
      <charset val="186"/>
    </font>
    <font>
      <b/>
      <sz val="12"/>
      <name val="Times New Roman"/>
      <family val="1"/>
    </font>
    <font>
      <b/>
      <sz val="12"/>
      <color rgb="FF000000"/>
      <name val="Times New Roman"/>
      <family val="1"/>
    </font>
    <font>
      <sz val="12"/>
      <name val="Times New Roman"/>
      <family val="1"/>
    </font>
    <font>
      <sz val="12"/>
      <color rgb="FF000000"/>
      <name val="Times New Roman"/>
      <family val="1"/>
    </font>
    <font>
      <sz val="11"/>
      <color rgb="FFFF0000"/>
      <name val="Calibri"/>
      <family val="2"/>
      <charset val="1"/>
    </font>
    <font>
      <sz val="8"/>
      <name val="Times New Roman"/>
      <family val="1"/>
      <charset val="186"/>
    </font>
    <font>
      <sz val="12"/>
      <name val="Times New Roman"/>
      <family val="1"/>
      <charset val="186"/>
    </font>
    <font>
      <sz val="11"/>
      <name val="Times New Roman"/>
      <family val="1"/>
      <charset val="186"/>
    </font>
    <font>
      <sz val="11"/>
      <color rgb="FF000000"/>
      <name val="Times New Roman"/>
      <family val="1"/>
      <charset val="186"/>
    </font>
    <font>
      <sz val="12"/>
      <color rgb="FF000000"/>
      <name val="Times New Roman"/>
      <family val="1"/>
      <charset val="186"/>
    </font>
    <font>
      <strike/>
      <sz val="12"/>
      <color rgb="FF000000"/>
      <name val="Times New Roman"/>
      <family val="1"/>
      <charset val="186"/>
    </font>
    <font>
      <sz val="12"/>
      <color rgb="FFFF0000"/>
      <name val="Times New Roman"/>
      <family val="1"/>
      <charset val="186"/>
    </font>
    <font>
      <sz val="12"/>
      <color theme="5"/>
      <name val="Times New Roman"/>
      <family val="1"/>
      <charset val="186"/>
    </font>
    <font>
      <strike/>
      <sz val="12"/>
      <name val="Times New Roman"/>
      <family val="1"/>
      <charset val="186"/>
    </font>
    <font>
      <sz val="10"/>
      <color rgb="FF000000"/>
      <name val="Times New Roman"/>
      <family val="1"/>
      <charset val="186"/>
    </font>
  </fonts>
  <fills count="25">
    <fill>
      <patternFill patternType="none"/>
    </fill>
    <fill>
      <patternFill patternType="gray125"/>
    </fill>
    <fill>
      <patternFill patternType="solid">
        <fgColor rgb="FFFAEE80"/>
        <bgColor rgb="FFFFCC99"/>
      </patternFill>
    </fill>
    <fill>
      <patternFill patternType="solid">
        <fgColor rgb="FFC0E4F6"/>
        <bgColor rgb="FFCCFFFF"/>
      </patternFill>
    </fill>
    <fill>
      <patternFill patternType="solid">
        <fgColor rgb="FFD8FAD4"/>
        <bgColor rgb="FFCCFFFF"/>
      </patternFill>
    </fill>
    <fill>
      <patternFill patternType="solid">
        <fgColor rgb="FFEBEBEB"/>
        <bgColor rgb="FFD8FAD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0"/>
        <bgColor indexed="64"/>
      </patternFill>
    </fill>
    <fill>
      <patternFill patternType="solid">
        <fgColor rgb="FFFFFFCC"/>
        <bgColor indexed="64"/>
      </patternFill>
    </fill>
    <fill>
      <patternFill patternType="solid">
        <fgColor rgb="FFFFC000"/>
        <bgColor indexed="64"/>
      </patternFill>
    </fill>
    <fill>
      <patternFill patternType="solid">
        <fgColor rgb="FFE2EFDA"/>
        <bgColor indexed="64"/>
      </patternFill>
    </fill>
    <fill>
      <patternFill patternType="solid">
        <fgColor rgb="FFFCE4D6"/>
        <bgColor indexed="64"/>
      </patternFill>
    </fill>
    <fill>
      <patternFill patternType="solid">
        <fgColor rgb="FFD9E1F2"/>
        <bgColor indexed="64"/>
      </patternFill>
    </fill>
    <fill>
      <patternFill patternType="solid">
        <fgColor rgb="FFFFF2CC"/>
        <bgColor indexed="64"/>
      </patternFill>
    </fill>
    <fill>
      <patternFill patternType="solid">
        <fgColor rgb="FFC1E0FF"/>
        <bgColor indexed="64"/>
      </patternFill>
    </fill>
    <fill>
      <patternFill patternType="solid">
        <fgColor rgb="FFC1E0FF"/>
        <bgColor rgb="FFCCFFFF"/>
      </patternFill>
    </fill>
    <fill>
      <patternFill patternType="solid">
        <fgColor rgb="FFDDEBF7"/>
        <bgColor indexed="64"/>
      </patternFill>
    </fill>
    <fill>
      <patternFill patternType="solid">
        <fgColor rgb="FFFFFF00"/>
        <bgColor indexed="64"/>
      </patternFill>
    </fill>
    <fill>
      <patternFill patternType="solid">
        <fgColor theme="0"/>
        <bgColor rgb="FFD8FAD4"/>
      </patternFill>
    </fill>
  </fills>
  <borders count="3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bottom/>
      <diagonal/>
    </border>
    <border>
      <left/>
      <right style="medium">
        <color auto="1"/>
      </right>
      <top/>
      <bottom/>
      <diagonal/>
    </border>
  </borders>
  <cellStyleXfs count="4">
    <xf numFmtId="0" fontId="0" fillId="0" borderId="0"/>
    <xf numFmtId="9" fontId="1" fillId="0" borderId="0" applyFont="0" applyFill="0" applyBorder="0" applyAlignment="0" applyProtection="0"/>
    <xf numFmtId="0" fontId="2" fillId="0" borderId="0" applyBorder="0"/>
    <xf numFmtId="43" fontId="1" fillId="0" borderId="0" applyFont="0" applyFill="0" applyBorder="0" applyAlignment="0" applyProtection="0"/>
  </cellStyleXfs>
  <cellXfs count="403">
    <xf numFmtId="0" fontId="0" fillId="0" borderId="0" xfId="0"/>
    <xf numFmtId="0" fontId="0" fillId="0" borderId="0" xfId="0" applyBorder="1" applyAlignment="1" applyProtection="1"/>
    <xf numFmtId="0" fontId="0" fillId="0" borderId="0" xfId="0" applyAlignment="1">
      <alignment vertical="center"/>
    </xf>
    <xf numFmtId="0" fontId="0" fillId="0" borderId="6" xfId="0" applyBorder="1"/>
    <xf numFmtId="0" fontId="0" fillId="14" borderId="6" xfId="0" applyFill="1" applyBorder="1"/>
    <xf numFmtId="0" fontId="3" fillId="0" borderId="6" xfId="0" applyFont="1" applyBorder="1"/>
    <xf numFmtId="0" fontId="0" fillId="15" borderId="6" xfId="0" applyFill="1" applyBorder="1"/>
    <xf numFmtId="0" fontId="0" fillId="16" borderId="6" xfId="0" applyFill="1" applyBorder="1"/>
    <xf numFmtId="0" fontId="0" fillId="17" borderId="6" xfId="0" applyFill="1" applyBorder="1"/>
    <xf numFmtId="0" fontId="0" fillId="18" borderId="6" xfId="0" applyFill="1" applyBorder="1"/>
    <xf numFmtId="0" fontId="4" fillId="0" borderId="6" xfId="2" applyFont="1" applyBorder="1" applyAlignment="1">
      <alignment horizontal="center" vertical="center"/>
    </xf>
    <xf numFmtId="0" fontId="4" fillId="0" borderId="6" xfId="0" applyFont="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vertical="center" wrapText="1"/>
    </xf>
    <xf numFmtId="0" fontId="7" fillId="0" borderId="6" xfId="0" applyFont="1" applyBorder="1"/>
    <xf numFmtId="0" fontId="0" fillId="13" borderId="6" xfId="0" applyFill="1" applyBorder="1"/>
    <xf numFmtId="0" fontId="4" fillId="0" borderId="6" xfId="0" applyFont="1" applyBorder="1" applyAlignment="1">
      <alignment vertical="center" wrapText="1"/>
    </xf>
    <xf numFmtId="0" fontId="5" fillId="0" borderId="6" xfId="0" applyFont="1" applyBorder="1" applyAlignment="1">
      <alignment vertical="center"/>
    </xf>
    <xf numFmtId="0" fontId="5" fillId="13" borderId="6" xfId="0" applyFont="1" applyFill="1" applyBorder="1" applyAlignment="1">
      <alignment horizontal="center" vertical="center"/>
    </xf>
    <xf numFmtId="0" fontId="9" fillId="0" borderId="0" xfId="0" applyFont="1" applyAlignment="1">
      <alignment vertical="top"/>
    </xf>
    <xf numFmtId="0" fontId="10" fillId="0" borderId="0" xfId="0" applyFont="1" applyAlignment="1">
      <alignment horizontal="center" vertical="top"/>
    </xf>
    <xf numFmtId="166" fontId="9" fillId="0" borderId="0" xfId="0" applyNumberFormat="1" applyFont="1" applyAlignment="1">
      <alignment vertical="center"/>
    </xf>
    <xf numFmtId="0" fontId="11" fillId="0" borderId="0" xfId="0" applyFont="1" applyAlignment="1">
      <alignment vertical="center"/>
    </xf>
    <xf numFmtId="0" fontId="9" fillId="0" borderId="0" xfId="0" applyFont="1" applyBorder="1" applyAlignment="1">
      <alignment vertical="top"/>
    </xf>
    <xf numFmtId="14" fontId="11" fillId="0" borderId="0" xfId="0" applyNumberFormat="1" applyFont="1" applyAlignment="1">
      <alignment vertical="center"/>
    </xf>
    <xf numFmtId="0" fontId="2" fillId="0" borderId="0" xfId="2" applyNumberFormat="1" applyFill="1" applyAlignment="1" applyProtection="1"/>
    <xf numFmtId="0" fontId="12" fillId="0" borderId="0" xfId="2" applyNumberFormat="1" applyFont="1" applyFill="1" applyAlignment="1" applyProtection="1">
      <alignment wrapText="1"/>
    </xf>
    <xf numFmtId="0" fontId="11" fillId="0" borderId="0" xfId="0" applyFont="1" applyBorder="1" applyAlignment="1">
      <alignment horizontal="left" vertical="top"/>
    </xf>
    <xf numFmtId="0" fontId="12" fillId="0" borderId="0" xfId="2" applyNumberFormat="1" applyFont="1" applyFill="1" applyAlignment="1" applyProtection="1">
      <alignment horizontal="left" wrapText="1"/>
    </xf>
    <xf numFmtId="165" fontId="10" fillId="0" borderId="0" xfId="3" applyNumberFormat="1" applyFont="1" applyAlignment="1">
      <alignment vertical="top"/>
    </xf>
    <xf numFmtId="0" fontId="12" fillId="0" borderId="0" xfId="2" applyNumberFormat="1" applyFont="1" applyFill="1" applyAlignment="1" applyProtection="1"/>
    <xf numFmtId="0" fontId="13" fillId="0" borderId="0" xfId="0" applyFont="1" applyBorder="1" applyAlignment="1" applyProtection="1">
      <alignment wrapText="1"/>
    </xf>
    <xf numFmtId="0" fontId="13" fillId="0" borderId="0" xfId="0" applyFont="1" applyBorder="1" applyAlignment="1" applyProtection="1">
      <alignment horizontal="center" wrapText="1"/>
    </xf>
    <xf numFmtId="0" fontId="13" fillId="0" borderId="0" xfId="0" applyFont="1" applyBorder="1" applyAlignment="1" applyProtection="1">
      <alignment horizontal="left" wrapText="1"/>
    </xf>
    <xf numFmtId="0" fontId="3" fillId="0" borderId="5" xfId="0" applyFont="1" applyBorder="1" applyAlignment="1" applyProtection="1">
      <alignment horizontal="center" vertical="center" wrapText="1"/>
    </xf>
    <xf numFmtId="0" fontId="3" fillId="0" borderId="5" xfId="0" applyFont="1" applyBorder="1" applyAlignment="1" applyProtection="1">
      <alignment horizontal="center" vertical="center" wrapText="1" readingOrder="1"/>
    </xf>
    <xf numFmtId="0" fontId="13" fillId="2" borderId="8" xfId="0" applyFont="1" applyFill="1" applyBorder="1" applyAlignment="1" applyProtection="1">
      <alignment vertical="top" wrapText="1" readingOrder="1"/>
      <protection locked="0"/>
    </xf>
    <xf numFmtId="0" fontId="13" fillId="2" borderId="3" xfId="0" applyFont="1" applyFill="1" applyBorder="1" applyAlignment="1" applyProtection="1">
      <alignment vertical="top" wrapText="1" readingOrder="1"/>
      <protection locked="0"/>
    </xf>
    <xf numFmtId="0" fontId="13" fillId="2" borderId="3" xfId="0" applyFont="1" applyFill="1" applyBorder="1" applyAlignment="1" applyProtection="1">
      <alignment horizontal="left" vertical="top" wrapText="1" readingOrder="1"/>
      <protection locked="0"/>
    </xf>
    <xf numFmtId="164" fontId="13" fillId="2" borderId="3" xfId="0" applyNumberFormat="1" applyFont="1" applyFill="1" applyBorder="1" applyAlignment="1" applyProtection="1">
      <alignment horizontal="center" vertical="top" wrapText="1" readingOrder="1"/>
    </xf>
    <xf numFmtId="9" fontId="13" fillId="2" borderId="3" xfId="1" applyFont="1" applyFill="1" applyBorder="1" applyAlignment="1" applyProtection="1">
      <alignment horizontal="center" vertical="top" wrapText="1" readingOrder="1"/>
    </xf>
    <xf numFmtId="0" fontId="13" fillId="2" borderId="3" xfId="0" applyFont="1" applyFill="1" applyBorder="1" applyAlignment="1" applyProtection="1">
      <alignment horizontal="center" vertical="top" wrapText="1" readingOrder="1"/>
      <protection locked="0"/>
    </xf>
    <xf numFmtId="0" fontId="13" fillId="2" borderId="3" xfId="0" applyNumberFormat="1" applyFont="1" applyFill="1" applyBorder="1" applyAlignment="1" applyProtection="1">
      <alignment horizontal="center" vertical="top" wrapText="1"/>
      <protection locked="0"/>
    </xf>
    <xf numFmtId="0" fontId="13" fillId="2" borderId="3" xfId="0" applyFont="1" applyFill="1" applyBorder="1" applyAlignment="1" applyProtection="1">
      <alignment horizontal="right" vertical="top" wrapText="1" readingOrder="1"/>
      <protection locked="0"/>
    </xf>
    <xf numFmtId="0" fontId="13" fillId="3" borderId="8" xfId="0" applyFont="1" applyFill="1" applyBorder="1" applyAlignment="1" applyProtection="1">
      <alignment vertical="top" wrapText="1" readingOrder="1"/>
      <protection locked="0"/>
    </xf>
    <xf numFmtId="0" fontId="13" fillId="3" borderId="3" xfId="0" applyFont="1" applyFill="1" applyBorder="1" applyAlignment="1" applyProtection="1">
      <alignment vertical="top" wrapText="1" readingOrder="1"/>
      <protection locked="0"/>
    </xf>
    <xf numFmtId="0" fontId="13" fillId="3" borderId="3" xfId="0" applyFont="1" applyFill="1" applyBorder="1" applyAlignment="1" applyProtection="1">
      <alignment horizontal="left" vertical="top" wrapText="1" readingOrder="1"/>
      <protection locked="0"/>
    </xf>
    <xf numFmtId="164" fontId="13" fillId="3" borderId="3" xfId="0" applyNumberFormat="1" applyFont="1" applyFill="1" applyBorder="1" applyAlignment="1" applyProtection="1">
      <alignment horizontal="center" vertical="top" wrapText="1" readingOrder="1"/>
    </xf>
    <xf numFmtId="9" fontId="13" fillId="3" borderId="3" xfId="1" applyFont="1" applyFill="1" applyBorder="1" applyAlignment="1" applyProtection="1">
      <alignment horizontal="center" vertical="top" wrapText="1" readingOrder="1"/>
    </xf>
    <xf numFmtId="0" fontId="13" fillId="3" borderId="3" xfId="0" applyFont="1" applyFill="1" applyBorder="1" applyAlignment="1" applyProtection="1">
      <alignment horizontal="center" vertical="top" wrapText="1" readingOrder="1"/>
      <protection locked="0"/>
    </xf>
    <xf numFmtId="0" fontId="13" fillId="3" borderId="3" xfId="0" applyNumberFormat="1" applyFont="1" applyFill="1" applyBorder="1" applyAlignment="1" applyProtection="1">
      <alignment horizontal="center" vertical="top" wrapText="1"/>
      <protection locked="0"/>
    </xf>
    <xf numFmtId="0" fontId="13" fillId="3" borderId="3" xfId="0" applyFont="1" applyFill="1" applyBorder="1" applyAlignment="1" applyProtection="1">
      <alignment horizontal="right" vertical="top" wrapText="1" readingOrder="1"/>
      <protection locked="0"/>
    </xf>
    <xf numFmtId="0" fontId="13" fillId="4" borderId="8" xfId="0" applyFont="1" applyFill="1" applyBorder="1" applyAlignment="1" applyProtection="1">
      <alignment vertical="top" wrapText="1" readingOrder="1"/>
      <protection locked="0"/>
    </xf>
    <xf numFmtId="0" fontId="13" fillId="4" borderId="3" xfId="0" applyFont="1" applyFill="1" applyBorder="1" applyAlignment="1" applyProtection="1">
      <alignment vertical="top" wrapText="1" readingOrder="1"/>
      <protection locked="0"/>
    </xf>
    <xf numFmtId="0" fontId="13" fillId="4" borderId="3" xfId="0" applyFont="1" applyFill="1" applyBorder="1" applyAlignment="1" applyProtection="1">
      <alignment horizontal="left" vertical="top" wrapText="1" readingOrder="1"/>
      <protection locked="0"/>
    </xf>
    <xf numFmtId="164" fontId="13" fillId="4" borderId="3" xfId="0" applyNumberFormat="1" applyFont="1" applyFill="1" applyBorder="1" applyAlignment="1" applyProtection="1">
      <alignment horizontal="center" vertical="top" wrapText="1" readingOrder="1"/>
    </xf>
    <xf numFmtId="9" fontId="13" fillId="4" borderId="3" xfId="1" applyFont="1" applyFill="1" applyBorder="1" applyAlignment="1" applyProtection="1">
      <alignment horizontal="center" vertical="top" wrapText="1" readingOrder="1"/>
    </xf>
    <xf numFmtId="0" fontId="13" fillId="4" borderId="3" xfId="0" applyFont="1" applyFill="1" applyBorder="1" applyAlignment="1" applyProtection="1">
      <alignment horizontal="center" vertical="top" wrapText="1" readingOrder="1"/>
      <protection locked="0"/>
    </xf>
    <xf numFmtId="0" fontId="13" fillId="4" borderId="3" xfId="0" applyFont="1" applyFill="1" applyBorder="1" applyAlignment="1" applyProtection="1">
      <alignment horizontal="center" vertical="top" wrapText="1"/>
      <protection locked="0"/>
    </xf>
    <xf numFmtId="0" fontId="13" fillId="4" borderId="3" xfId="0" applyFont="1" applyFill="1" applyBorder="1" applyAlignment="1" applyProtection="1">
      <alignment horizontal="right" vertical="top" wrapText="1" readingOrder="1"/>
      <protection locked="0"/>
    </xf>
    <xf numFmtId="0" fontId="13" fillId="0" borderId="3" xfId="0" applyFont="1" applyBorder="1" applyAlignment="1" applyProtection="1">
      <alignment horizontal="left" vertical="top" wrapText="1" readingOrder="1"/>
      <protection locked="0"/>
    </xf>
    <xf numFmtId="164" fontId="13" fillId="6" borderId="3" xfId="0" applyNumberFormat="1" applyFont="1" applyFill="1" applyBorder="1" applyAlignment="1" applyProtection="1">
      <alignment horizontal="center" vertical="top" wrapText="1" readingOrder="1"/>
    </xf>
    <xf numFmtId="164" fontId="13" fillId="0" borderId="3" xfId="0" applyNumberFormat="1" applyFont="1" applyBorder="1" applyAlignment="1" applyProtection="1">
      <alignment horizontal="center" vertical="top" wrapText="1" readingOrder="1"/>
    </xf>
    <xf numFmtId="9" fontId="13" fillId="0" borderId="3" xfId="1" applyFont="1" applyBorder="1" applyAlignment="1" applyProtection="1">
      <alignment horizontal="center" vertical="top" wrapText="1" readingOrder="1"/>
    </xf>
    <xf numFmtId="0" fontId="13" fillId="0" borderId="3" xfId="0" applyFont="1" applyBorder="1" applyAlignment="1" applyProtection="1">
      <alignment horizontal="center" vertical="top" wrapText="1" readingOrder="1"/>
      <protection locked="0"/>
    </xf>
    <xf numFmtId="0" fontId="13" fillId="0" borderId="3" xfId="0" applyNumberFormat="1" applyFont="1" applyBorder="1" applyAlignment="1" applyProtection="1">
      <alignment horizontal="center" vertical="top" wrapText="1"/>
      <protection locked="0"/>
    </xf>
    <xf numFmtId="0" fontId="13" fillId="7" borderId="3" xfId="0" applyNumberFormat="1" applyFont="1" applyFill="1" applyBorder="1" applyAlignment="1" applyProtection="1">
      <alignment horizontal="center" vertical="top" wrapText="1"/>
      <protection locked="0"/>
    </xf>
    <xf numFmtId="0" fontId="13" fillId="0" borderId="3" xfId="0" applyFont="1" applyBorder="1" applyAlignment="1" applyProtection="1">
      <alignment horizontal="right" vertical="top" wrapText="1" readingOrder="1"/>
      <protection locked="0"/>
    </xf>
    <xf numFmtId="0" fontId="13" fillId="0" borderId="4" xfId="0" applyFont="1" applyBorder="1" applyAlignment="1" applyProtection="1">
      <alignment horizontal="left" vertical="top" wrapText="1" readingOrder="1"/>
      <protection locked="0"/>
    </xf>
    <xf numFmtId="0" fontId="13" fillId="0" borderId="6" xfId="0" applyFont="1" applyBorder="1" applyAlignment="1" applyProtection="1">
      <alignment horizontal="left" vertical="top" wrapText="1" readingOrder="1"/>
      <protection locked="0"/>
    </xf>
    <xf numFmtId="164" fontId="13" fillId="6" borderId="6" xfId="0" applyNumberFormat="1" applyFont="1" applyFill="1" applyBorder="1" applyAlignment="1" applyProtection="1">
      <alignment horizontal="center" vertical="top" wrapText="1" readingOrder="1"/>
      <protection locked="0"/>
    </xf>
    <xf numFmtId="164" fontId="13" fillId="0" borderId="6" xfId="0" applyNumberFormat="1" applyFont="1" applyBorder="1" applyAlignment="1" applyProtection="1">
      <alignment horizontal="center" vertical="top" wrapText="1" readingOrder="1"/>
      <protection locked="0"/>
    </xf>
    <xf numFmtId="0" fontId="13" fillId="0" borderId="6" xfId="0" applyFont="1" applyBorder="1" applyAlignment="1" applyProtection="1">
      <alignment horizontal="center" vertical="top" wrapText="1" readingOrder="1"/>
      <protection locked="0"/>
    </xf>
    <xf numFmtId="0" fontId="13" fillId="0" borderId="6" xfId="0" applyNumberFormat="1" applyFont="1" applyBorder="1" applyAlignment="1" applyProtection="1">
      <alignment horizontal="center" vertical="top" wrapText="1"/>
      <protection locked="0"/>
    </xf>
    <xf numFmtId="0" fontId="13" fillId="7" borderId="6" xfId="0" applyNumberFormat="1" applyFont="1" applyFill="1" applyBorder="1" applyAlignment="1" applyProtection="1">
      <alignment horizontal="center" vertical="top" wrapText="1"/>
      <protection locked="0"/>
    </xf>
    <xf numFmtId="0" fontId="13" fillId="0" borderId="6" xfId="0" applyFont="1" applyBorder="1" applyAlignment="1" applyProtection="1">
      <alignment horizontal="right" vertical="top" wrapText="1" readingOrder="1"/>
      <protection locked="0"/>
    </xf>
    <xf numFmtId="0" fontId="13" fillId="0" borderId="10" xfId="0" applyFont="1" applyBorder="1" applyAlignment="1" applyProtection="1">
      <alignment horizontal="left" vertical="top" wrapText="1" readingOrder="1"/>
      <protection locked="0"/>
    </xf>
    <xf numFmtId="0" fontId="13" fillId="0" borderId="6" xfId="0" applyFont="1" applyBorder="1" applyAlignment="1" applyProtection="1">
      <alignment horizontal="center" vertical="top" wrapText="1"/>
      <protection locked="0"/>
    </xf>
    <xf numFmtId="9" fontId="13" fillId="0" borderId="11" xfId="1" applyFont="1" applyBorder="1" applyAlignment="1" applyProtection="1">
      <alignment horizontal="center" vertical="top" wrapText="1" readingOrder="1"/>
    </xf>
    <xf numFmtId="9" fontId="13" fillId="0" borderId="6" xfId="1" applyFont="1" applyBorder="1" applyAlignment="1" applyProtection="1">
      <alignment horizontal="center" vertical="top" wrapText="1" readingOrder="1"/>
    </xf>
    <xf numFmtId="0" fontId="13" fillId="8" borderId="6" xfId="0" applyNumberFormat="1" applyFont="1" applyFill="1" applyBorder="1" applyAlignment="1" applyProtection="1">
      <alignment horizontal="center" vertical="top" wrapText="1"/>
      <protection locked="0"/>
    </xf>
    <xf numFmtId="9" fontId="13" fillId="0" borderId="17" xfId="1" applyFont="1" applyBorder="1" applyAlignment="1" applyProtection="1">
      <alignment horizontal="center" vertical="top" wrapText="1" readingOrder="1"/>
    </xf>
    <xf numFmtId="0" fontId="10" fillId="0" borderId="6" xfId="0" applyFont="1" applyBorder="1" applyAlignment="1" applyProtection="1">
      <alignment horizontal="left" vertical="top" wrapText="1" readingOrder="1"/>
      <protection locked="0"/>
    </xf>
    <xf numFmtId="0" fontId="14" fillId="0" borderId="10" xfId="0" applyFont="1" applyBorder="1" applyAlignment="1" applyProtection="1">
      <alignment horizontal="left" vertical="top" wrapText="1" readingOrder="1"/>
      <protection locked="0"/>
    </xf>
    <xf numFmtId="0" fontId="13" fillId="15" borderId="6" xfId="0" applyNumberFormat="1" applyFont="1" applyFill="1" applyBorder="1" applyAlignment="1" applyProtection="1">
      <alignment horizontal="center" vertical="top" wrapText="1"/>
      <protection locked="0"/>
    </xf>
    <xf numFmtId="0" fontId="13" fillId="13" borderId="6" xfId="0" applyFont="1" applyFill="1" applyBorder="1" applyAlignment="1" applyProtection="1">
      <alignment horizontal="center" vertical="top" wrapText="1"/>
      <protection locked="0"/>
    </xf>
    <xf numFmtId="0" fontId="13" fillId="17" borderId="6" xfId="0" applyFont="1" applyFill="1" applyBorder="1" applyAlignment="1" applyProtection="1">
      <alignment horizontal="center" vertical="top" wrapText="1"/>
      <protection locked="0"/>
    </xf>
    <xf numFmtId="0" fontId="13" fillId="13" borderId="10" xfId="0" applyFont="1" applyFill="1" applyBorder="1" applyAlignment="1" applyProtection="1">
      <alignment horizontal="left" vertical="top" wrapText="1" readingOrder="1"/>
      <protection locked="0"/>
    </xf>
    <xf numFmtId="0" fontId="13" fillId="8" borderId="3" xfId="0" applyNumberFormat="1" applyFont="1" applyFill="1" applyBorder="1" applyAlignment="1" applyProtection="1">
      <alignment horizontal="center" vertical="top" wrapText="1"/>
      <protection locked="0"/>
    </xf>
    <xf numFmtId="0" fontId="14" fillId="0" borderId="4" xfId="0" applyFont="1" applyBorder="1" applyAlignment="1" applyProtection="1">
      <alignment horizontal="left" vertical="top" wrapText="1" readingOrder="1"/>
      <protection locked="0"/>
    </xf>
    <xf numFmtId="9" fontId="13" fillId="0" borderId="12" xfId="1" applyFont="1" applyBorder="1" applyAlignment="1" applyProtection="1">
      <alignment horizontal="center" vertical="top" wrapText="1" readingOrder="1"/>
    </xf>
    <xf numFmtId="0" fontId="13" fillId="15" borderId="3" xfId="0" applyNumberFormat="1" applyFont="1" applyFill="1" applyBorder="1" applyAlignment="1" applyProtection="1">
      <alignment horizontal="center" vertical="top" wrapText="1"/>
      <protection locked="0"/>
    </xf>
    <xf numFmtId="0" fontId="13" fillId="0" borderId="8" xfId="0" applyFont="1" applyBorder="1" applyAlignment="1" applyProtection="1">
      <alignment vertical="top" wrapText="1" readingOrder="1"/>
      <protection locked="0"/>
    </xf>
    <xf numFmtId="0" fontId="13" fillId="0" borderId="3" xfId="0" applyFont="1" applyBorder="1" applyAlignment="1" applyProtection="1">
      <alignment vertical="top" wrapText="1" readingOrder="1"/>
      <protection locked="0"/>
    </xf>
    <xf numFmtId="164" fontId="13" fillId="6" borderId="3" xfId="0" applyNumberFormat="1" applyFont="1" applyFill="1" applyBorder="1" applyAlignment="1" applyProtection="1">
      <alignment horizontal="center" vertical="top" wrapText="1" readingOrder="1"/>
      <protection locked="0"/>
    </xf>
    <xf numFmtId="164" fontId="13" fillId="0" borderId="3" xfId="0" applyNumberFormat="1" applyFont="1" applyBorder="1" applyAlignment="1" applyProtection="1">
      <alignment horizontal="center" vertical="top" wrapText="1" readingOrder="1"/>
      <protection locked="0"/>
    </xf>
    <xf numFmtId="0" fontId="10" fillId="3" borderId="3" xfId="0" applyNumberFormat="1" applyFont="1" applyFill="1" applyBorder="1" applyAlignment="1" applyProtection="1">
      <alignment horizontal="center" vertical="top" wrapText="1"/>
      <protection locked="0"/>
    </xf>
    <xf numFmtId="0" fontId="13" fillId="0" borderId="3" xfId="0" applyFont="1" applyBorder="1" applyAlignment="1" applyProtection="1">
      <alignment horizontal="center" vertical="top" wrapText="1"/>
      <protection locked="0"/>
    </xf>
    <xf numFmtId="0" fontId="13" fillId="0" borderId="9" xfId="0" applyFont="1" applyBorder="1" applyAlignment="1" applyProtection="1">
      <alignment vertical="top" wrapText="1" readingOrder="1"/>
      <protection locked="0"/>
    </xf>
    <xf numFmtId="0" fontId="13" fillId="0" borderId="6" xfId="0" applyFont="1" applyBorder="1" applyAlignment="1" applyProtection="1">
      <alignment vertical="top" wrapText="1" readingOrder="1"/>
      <protection locked="0"/>
    </xf>
    <xf numFmtId="0" fontId="13" fillId="11" borderId="3" xfId="0" applyNumberFormat="1" applyFont="1" applyFill="1" applyBorder="1" applyAlignment="1" applyProtection="1">
      <alignment horizontal="center" vertical="top" wrapText="1"/>
      <protection locked="0"/>
    </xf>
    <xf numFmtId="0" fontId="13" fillId="11" borderId="6" xfId="0" applyNumberFormat="1" applyFont="1" applyFill="1" applyBorder="1" applyAlignment="1" applyProtection="1">
      <alignment horizontal="center" vertical="top" wrapText="1"/>
      <protection locked="0"/>
    </xf>
    <xf numFmtId="0" fontId="15" fillId="2" borderId="3" xfId="0" applyNumberFormat="1" applyFont="1" applyFill="1" applyBorder="1" applyAlignment="1" applyProtection="1">
      <alignment horizontal="center" vertical="top" wrapText="1"/>
      <protection locked="0"/>
    </xf>
    <xf numFmtId="0" fontId="13" fillId="20" borderId="9" xfId="0" applyFont="1" applyFill="1" applyBorder="1" applyAlignment="1" applyProtection="1">
      <alignment vertical="top" wrapText="1" readingOrder="1"/>
      <protection locked="0"/>
    </xf>
    <xf numFmtId="0" fontId="13" fillId="20" borderId="6" xfId="0" applyFont="1" applyFill="1" applyBorder="1" applyAlignment="1" applyProtection="1">
      <alignment horizontal="left" vertical="top" wrapText="1" readingOrder="1"/>
      <protection locked="0"/>
    </xf>
    <xf numFmtId="164" fontId="13" fillId="20" borderId="6" xfId="0" applyNumberFormat="1" applyFont="1" applyFill="1" applyBorder="1" applyAlignment="1" applyProtection="1">
      <alignment horizontal="center" vertical="top" wrapText="1" readingOrder="1"/>
      <protection locked="0"/>
    </xf>
    <xf numFmtId="0" fontId="13" fillId="20" borderId="6" xfId="0" applyFont="1" applyFill="1" applyBorder="1" applyAlignment="1" applyProtection="1">
      <alignment horizontal="center" vertical="top" wrapText="1" readingOrder="1"/>
      <protection locked="0"/>
    </xf>
    <xf numFmtId="0" fontId="13" fillId="20" borderId="6" xfId="0" applyNumberFormat="1" applyFont="1" applyFill="1" applyBorder="1" applyAlignment="1" applyProtection="1">
      <alignment horizontal="center" vertical="top" wrapText="1"/>
      <protection locked="0"/>
    </xf>
    <xf numFmtId="0" fontId="13" fillId="9" borderId="3" xfId="0" applyNumberFormat="1" applyFont="1" applyFill="1" applyBorder="1" applyAlignment="1" applyProtection="1">
      <alignment horizontal="center" vertical="top" wrapText="1"/>
      <protection locked="0"/>
    </xf>
    <xf numFmtId="0" fontId="13" fillId="12" borderId="6" xfId="0" applyNumberFormat="1" applyFont="1" applyFill="1" applyBorder="1" applyAlignment="1" applyProtection="1">
      <alignment horizontal="center" vertical="top" wrapText="1"/>
      <protection locked="0"/>
    </xf>
    <xf numFmtId="0" fontId="13" fillId="9" borderId="6" xfId="0" applyNumberFormat="1" applyFont="1" applyFill="1" applyBorder="1" applyAlignment="1" applyProtection="1">
      <alignment horizontal="center" vertical="top" wrapText="1"/>
      <protection locked="0"/>
    </xf>
    <xf numFmtId="0" fontId="13" fillId="18" borderId="3" xfId="0" applyNumberFormat="1" applyFont="1" applyFill="1" applyBorder="1" applyAlignment="1" applyProtection="1">
      <alignment horizontal="center" vertical="top" wrapText="1"/>
      <protection locked="0"/>
    </xf>
    <xf numFmtId="0" fontId="13" fillId="18" borderId="6" xfId="0" applyNumberFormat="1" applyFont="1" applyFill="1" applyBorder="1" applyAlignment="1" applyProtection="1">
      <alignment horizontal="center" vertical="top" wrapText="1"/>
      <protection locked="0"/>
    </xf>
    <xf numFmtId="3" fontId="13" fillId="0" borderId="6" xfId="0" applyNumberFormat="1" applyFont="1" applyBorder="1" applyAlignment="1" applyProtection="1">
      <alignment horizontal="center" vertical="top" wrapText="1"/>
      <protection locked="0"/>
    </xf>
    <xf numFmtId="3" fontId="13" fillId="11" borderId="6" xfId="0" applyNumberFormat="1" applyFont="1" applyFill="1" applyBorder="1" applyAlignment="1" applyProtection="1">
      <alignment horizontal="center" vertical="top" wrapText="1"/>
      <protection locked="0"/>
    </xf>
    <xf numFmtId="3" fontId="13" fillId="19" borderId="6" xfId="0" applyNumberFormat="1" applyFont="1" applyFill="1" applyBorder="1" applyAlignment="1" applyProtection="1">
      <alignment horizontal="center" vertical="top" wrapText="1"/>
      <protection locked="0"/>
    </xf>
    <xf numFmtId="3" fontId="13" fillId="12" borderId="6" xfId="0" applyNumberFormat="1" applyFont="1" applyFill="1" applyBorder="1" applyAlignment="1" applyProtection="1">
      <alignment horizontal="center" vertical="top" wrapText="1"/>
      <protection locked="0"/>
    </xf>
    <xf numFmtId="3" fontId="13" fillId="18" borderId="6" xfId="0" applyNumberFormat="1" applyFont="1" applyFill="1" applyBorder="1" applyAlignment="1" applyProtection="1">
      <alignment horizontal="center" vertical="top" wrapText="1"/>
      <protection locked="0"/>
    </xf>
    <xf numFmtId="0" fontId="13" fillId="4" borderId="4" xfId="0" applyFont="1" applyFill="1" applyBorder="1" applyAlignment="1" applyProtection="1">
      <alignment horizontal="left" vertical="top" wrapText="1" readingOrder="1"/>
      <protection locked="0"/>
    </xf>
    <xf numFmtId="3" fontId="13" fillId="3" borderId="3" xfId="0" applyNumberFormat="1" applyFont="1" applyFill="1" applyBorder="1" applyAlignment="1" applyProtection="1">
      <alignment horizontal="center" vertical="top" wrapText="1"/>
      <protection locked="0"/>
    </xf>
    <xf numFmtId="3" fontId="13" fillId="0" borderId="3" xfId="0" applyNumberFormat="1" applyFont="1" applyBorder="1" applyAlignment="1" applyProtection="1">
      <alignment horizontal="center" vertical="top" wrapText="1"/>
      <protection locked="0"/>
    </xf>
    <xf numFmtId="3" fontId="13" fillId="9" borderId="3" xfId="0" applyNumberFormat="1" applyFont="1" applyFill="1" applyBorder="1" applyAlignment="1" applyProtection="1">
      <alignment horizontal="center" vertical="top" wrapText="1"/>
      <protection locked="0"/>
    </xf>
    <xf numFmtId="0" fontId="14" fillId="0" borderId="6" xfId="0" applyFont="1" applyBorder="1" applyAlignment="1" applyProtection="1">
      <alignment horizontal="left" vertical="top" wrapText="1" readingOrder="1"/>
      <protection locked="0"/>
    </xf>
    <xf numFmtId="0" fontId="10" fillId="0" borderId="10" xfId="0" applyFont="1" applyBorder="1" applyAlignment="1" applyProtection="1">
      <alignment horizontal="left" vertical="top" wrapText="1" readingOrder="1"/>
      <protection locked="0"/>
    </xf>
    <xf numFmtId="9" fontId="13" fillId="0" borderId="5" xfId="1" applyFont="1" applyBorder="1" applyAlignment="1" applyProtection="1">
      <alignment horizontal="center" vertical="top" wrapText="1" readingOrder="1"/>
    </xf>
    <xf numFmtId="0" fontId="10" fillId="9" borderId="3" xfId="0" applyNumberFormat="1"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readingOrder="1"/>
      <protection locked="0"/>
    </xf>
    <xf numFmtId="0" fontId="10" fillId="7" borderId="3" xfId="0" applyNumberFormat="1" applyFont="1" applyFill="1" applyBorder="1" applyAlignment="1" applyProtection="1">
      <alignment horizontal="center" vertical="top" wrapText="1"/>
      <protection locked="0"/>
    </xf>
    <xf numFmtId="0" fontId="14" fillId="0" borderId="3" xfId="0" applyFont="1" applyBorder="1" applyAlignment="1" applyProtection="1">
      <alignment horizontal="left" vertical="top" wrapText="1" readingOrder="1"/>
      <protection locked="0"/>
    </xf>
    <xf numFmtId="0" fontId="16" fillId="2" borderId="3" xfId="0" applyNumberFormat="1" applyFont="1" applyFill="1" applyBorder="1" applyAlignment="1" applyProtection="1">
      <alignment horizontal="center" vertical="top" wrapText="1"/>
      <protection locked="0"/>
    </xf>
    <xf numFmtId="0" fontId="13" fillId="13" borderId="6" xfId="0" applyFont="1" applyFill="1" applyBorder="1" applyAlignment="1" applyProtection="1">
      <alignment horizontal="left" vertical="top" wrapText="1" readingOrder="1"/>
      <protection locked="0"/>
    </xf>
    <xf numFmtId="0" fontId="10" fillId="0" borderId="4" xfId="0" applyFont="1" applyBorder="1" applyAlignment="1" applyProtection="1">
      <alignment horizontal="left" vertical="top" wrapText="1" readingOrder="1"/>
      <protection locked="0"/>
    </xf>
    <xf numFmtId="0" fontId="15" fillId="0" borderId="3" xfId="0" applyFont="1" applyBorder="1" applyAlignment="1" applyProtection="1">
      <alignment horizontal="left" vertical="top" wrapText="1" readingOrder="1"/>
      <protection locked="0"/>
    </xf>
    <xf numFmtId="0" fontId="15" fillId="0" borderId="4" xfId="0" applyFont="1" applyBorder="1" applyAlignment="1" applyProtection="1">
      <alignment horizontal="left" vertical="top" wrapText="1" readingOrder="1"/>
      <protection locked="0"/>
    </xf>
    <xf numFmtId="0" fontId="10" fillId="8" borderId="6" xfId="0" applyNumberFormat="1" applyFont="1" applyFill="1" applyBorder="1" applyAlignment="1" applyProtection="1">
      <alignment horizontal="center" vertical="top" wrapText="1"/>
      <protection locked="0"/>
    </xf>
    <xf numFmtId="0" fontId="10" fillId="13" borderId="6" xfId="0" applyFont="1" applyFill="1" applyBorder="1" applyAlignment="1" applyProtection="1">
      <alignment horizontal="left" vertical="top" wrapText="1" readingOrder="1"/>
      <protection locked="0"/>
    </xf>
    <xf numFmtId="4" fontId="13" fillId="0" borderId="3" xfId="0" applyNumberFormat="1" applyFont="1" applyBorder="1" applyAlignment="1" applyProtection="1">
      <alignment horizontal="center" vertical="top" wrapText="1"/>
      <protection locked="0"/>
    </xf>
    <xf numFmtId="0" fontId="10" fillId="0" borderId="3" xfId="0" applyNumberFormat="1" applyFont="1" applyBorder="1" applyAlignment="1" applyProtection="1">
      <alignment horizontal="center" vertical="top" wrapText="1"/>
      <protection locked="0"/>
    </xf>
    <xf numFmtId="0" fontId="10" fillId="16" borderId="6" xfId="0" applyNumberFormat="1" applyFont="1" applyFill="1" applyBorder="1" applyAlignment="1" applyProtection="1">
      <alignment horizontal="center" vertical="top" wrapText="1"/>
      <protection locked="0"/>
    </xf>
    <xf numFmtId="0" fontId="13" fillId="21" borderId="3" xfId="0" applyFont="1" applyFill="1" applyBorder="1" applyAlignment="1" applyProtection="1">
      <alignment horizontal="left" vertical="top" wrapText="1" readingOrder="1"/>
      <protection locked="0"/>
    </xf>
    <xf numFmtId="0" fontId="13" fillId="21" borderId="3" xfId="0" applyFont="1" applyFill="1" applyBorder="1" applyAlignment="1" applyProtection="1">
      <alignment horizontal="center" vertical="top" wrapText="1" readingOrder="1"/>
      <protection locked="0"/>
    </xf>
    <xf numFmtId="0" fontId="13" fillId="21" borderId="3" xfId="0" applyNumberFormat="1" applyFont="1" applyFill="1" applyBorder="1" applyAlignment="1" applyProtection="1">
      <alignment horizontal="center" vertical="top" wrapText="1"/>
      <protection locked="0"/>
    </xf>
    <xf numFmtId="0" fontId="13" fillId="21" borderId="3" xfId="0" applyFont="1" applyFill="1" applyBorder="1" applyAlignment="1" applyProtection="1">
      <alignment horizontal="right" vertical="top" wrapText="1" readingOrder="1"/>
      <protection locked="0"/>
    </xf>
    <xf numFmtId="0" fontId="13" fillId="20" borderId="6" xfId="0" applyFont="1" applyFill="1" applyBorder="1" applyAlignment="1" applyProtection="1">
      <alignment horizontal="right" vertical="top" wrapText="1" readingOrder="1"/>
      <protection locked="0"/>
    </xf>
    <xf numFmtId="0" fontId="13" fillId="12" borderId="3" xfId="0" applyNumberFormat="1" applyFont="1" applyFill="1" applyBorder="1" applyAlignment="1" applyProtection="1">
      <alignment horizontal="center" vertical="top" wrapText="1"/>
      <protection locked="0"/>
    </xf>
    <xf numFmtId="0" fontId="10" fillId="0" borderId="3" xfId="0" applyFont="1" applyBorder="1" applyAlignment="1" applyProtection="1">
      <alignment horizontal="left" vertical="top" wrapText="1" readingOrder="1"/>
      <protection locked="0"/>
    </xf>
    <xf numFmtId="0" fontId="17" fillId="0" borderId="3" xfId="0" applyFont="1" applyBorder="1" applyAlignment="1" applyProtection="1">
      <alignment horizontal="left" vertical="top" wrapText="1" readingOrder="1"/>
      <protection locked="0"/>
    </xf>
    <xf numFmtId="0" fontId="13" fillId="16" borderId="3" xfId="0" applyNumberFormat="1" applyFont="1" applyFill="1" applyBorder="1" applyAlignment="1" applyProtection="1">
      <alignment horizontal="center" vertical="top" wrapText="1"/>
      <protection locked="0"/>
    </xf>
    <xf numFmtId="0" fontId="13" fillId="3" borderId="3" xfId="0" applyFont="1" applyFill="1" applyBorder="1" applyAlignment="1" applyProtection="1">
      <alignment horizontal="center" vertical="top" wrapText="1"/>
      <protection locked="0"/>
    </xf>
    <xf numFmtId="0" fontId="13" fillId="20" borderId="6" xfId="0" applyFont="1" applyFill="1" applyBorder="1" applyAlignment="1" applyProtection="1">
      <alignment horizontal="center" vertical="top" wrapText="1"/>
      <protection locked="0"/>
    </xf>
    <xf numFmtId="3" fontId="13" fillId="20" borderId="6" xfId="0" applyNumberFormat="1" applyFont="1" applyFill="1" applyBorder="1" applyAlignment="1" applyProtection="1">
      <alignment horizontal="center" vertical="top" wrapText="1"/>
      <protection locked="0"/>
    </xf>
    <xf numFmtId="0" fontId="10" fillId="22" borderId="3" xfId="0" applyFont="1" applyFill="1" applyBorder="1" applyAlignment="1" applyProtection="1">
      <alignment horizontal="center" vertical="top" wrapText="1"/>
      <protection locked="0"/>
    </xf>
    <xf numFmtId="0" fontId="13" fillId="12" borderId="6" xfId="0" applyFont="1" applyFill="1" applyBorder="1" applyAlignment="1" applyProtection="1">
      <alignment horizontal="center" vertical="top" wrapText="1"/>
      <protection locked="0"/>
    </xf>
    <xf numFmtId="0" fontId="13" fillId="22" borderId="3" xfId="0" applyFont="1" applyFill="1" applyBorder="1" applyAlignment="1" applyProtection="1">
      <alignment horizontal="center" vertical="top" wrapText="1"/>
      <protection locked="0"/>
    </xf>
    <xf numFmtId="0" fontId="13" fillId="22" borderId="6" xfId="0" applyFont="1" applyFill="1" applyBorder="1" applyAlignment="1" applyProtection="1">
      <alignment horizontal="center" vertical="top" wrapText="1"/>
      <protection locked="0"/>
    </xf>
    <xf numFmtId="0" fontId="13" fillId="16" borderId="6" xfId="0" applyFont="1" applyFill="1" applyBorder="1" applyAlignment="1" applyProtection="1">
      <alignment horizontal="center" vertical="top" wrapText="1"/>
      <protection locked="0"/>
    </xf>
    <xf numFmtId="0" fontId="13" fillId="16" borderId="6" xfId="0" applyNumberFormat="1" applyFont="1" applyFill="1" applyBorder="1" applyAlignment="1" applyProtection="1">
      <alignment horizontal="center" vertical="top" wrapText="1"/>
      <protection locked="0"/>
    </xf>
    <xf numFmtId="0" fontId="13" fillId="9" borderId="3" xfId="0" applyFont="1" applyFill="1" applyBorder="1" applyAlignment="1" applyProtection="1">
      <alignment horizontal="center" vertical="top" wrapText="1"/>
      <protection locked="0"/>
    </xf>
    <xf numFmtId="0" fontId="13" fillId="10" borderId="6" xfId="0" applyFont="1" applyFill="1" applyBorder="1" applyAlignment="1" applyProtection="1">
      <alignment horizontal="center" vertical="top" wrapText="1"/>
      <protection locked="0"/>
    </xf>
    <xf numFmtId="0" fontId="13" fillId="8" borderId="3" xfId="0" applyFont="1" applyFill="1" applyBorder="1" applyAlignment="1" applyProtection="1">
      <alignment horizontal="center" vertical="top" wrapText="1"/>
      <protection locked="0"/>
    </xf>
    <xf numFmtId="0" fontId="13" fillId="16" borderId="3" xfId="0" applyFont="1" applyFill="1" applyBorder="1" applyAlignment="1" applyProtection="1">
      <alignment horizontal="center" vertical="top" wrapText="1"/>
      <protection locked="0"/>
    </xf>
    <xf numFmtId="0" fontId="13" fillId="15" borderId="3" xfId="0" applyFont="1" applyFill="1" applyBorder="1" applyAlignment="1" applyProtection="1">
      <alignment horizontal="center" vertical="top" wrapText="1"/>
      <protection locked="0"/>
    </xf>
    <xf numFmtId="0" fontId="13" fillId="8" borderId="6" xfId="0" applyFont="1" applyFill="1" applyBorder="1" applyAlignment="1" applyProtection="1">
      <alignment horizontal="center" vertical="top" wrapText="1"/>
      <protection locked="0"/>
    </xf>
    <xf numFmtId="0" fontId="13" fillId="7" borderId="3" xfId="0" applyFont="1" applyFill="1" applyBorder="1" applyAlignment="1" applyProtection="1">
      <alignment horizontal="center" vertical="top" wrapText="1"/>
      <protection locked="0"/>
    </xf>
    <xf numFmtId="0" fontId="13" fillId="12" borderId="3" xfId="0" applyFont="1" applyFill="1" applyBorder="1" applyAlignment="1" applyProtection="1">
      <alignment horizontal="center" vertical="top" wrapText="1"/>
      <protection locked="0"/>
    </xf>
    <xf numFmtId="1" fontId="13" fillId="0" borderId="6" xfId="0" applyNumberFormat="1" applyFont="1" applyBorder="1" applyAlignment="1" applyProtection="1">
      <alignment horizontal="center" vertical="top" wrapText="1"/>
      <protection locked="0"/>
    </xf>
    <xf numFmtId="1" fontId="13" fillId="12" borderId="6" xfId="0" applyNumberFormat="1" applyFont="1" applyFill="1" applyBorder="1" applyAlignment="1" applyProtection="1">
      <alignment horizontal="center" vertical="top" wrapText="1"/>
      <protection locked="0"/>
    </xf>
    <xf numFmtId="1" fontId="13" fillId="8" borderId="6" xfId="0" applyNumberFormat="1" applyFont="1" applyFill="1" applyBorder="1" applyAlignment="1" applyProtection="1">
      <alignment horizontal="center" vertical="top" wrapText="1"/>
      <protection locked="0"/>
    </xf>
    <xf numFmtId="0" fontId="15" fillId="23" borderId="6" xfId="0" applyFont="1" applyFill="1" applyBorder="1" applyAlignment="1" applyProtection="1">
      <alignment horizontal="center" vertical="top" wrapText="1"/>
      <protection locked="0"/>
    </xf>
    <xf numFmtId="3" fontId="13" fillId="8" borderId="3" xfId="0" applyNumberFormat="1" applyFont="1" applyFill="1" applyBorder="1" applyAlignment="1" applyProtection="1">
      <alignment horizontal="center" vertical="top" wrapText="1"/>
      <protection locked="0"/>
    </xf>
    <xf numFmtId="3" fontId="13" fillId="8" borderId="6" xfId="0" applyNumberFormat="1" applyFont="1" applyFill="1" applyBorder="1" applyAlignment="1" applyProtection="1">
      <alignment horizontal="center" vertical="top" wrapText="1"/>
      <protection locked="0"/>
    </xf>
    <xf numFmtId="0" fontId="13" fillId="17" borderId="3" xfId="0" applyNumberFormat="1" applyFont="1" applyFill="1" applyBorder="1" applyAlignment="1" applyProtection="1">
      <alignment horizontal="center" vertical="top" wrapText="1"/>
      <protection locked="0"/>
    </xf>
    <xf numFmtId="0" fontId="13" fillId="17" borderId="6" xfId="0" applyNumberFormat="1" applyFont="1" applyFill="1" applyBorder="1" applyAlignment="1" applyProtection="1">
      <alignment horizontal="center" vertical="top" wrapText="1"/>
      <protection locked="0"/>
    </xf>
    <xf numFmtId="0" fontId="10" fillId="7" borderId="6" xfId="0" applyNumberFormat="1" applyFont="1" applyFill="1" applyBorder="1" applyAlignment="1" applyProtection="1">
      <alignment horizontal="center" vertical="top" wrapText="1"/>
      <protection locked="0"/>
    </xf>
    <xf numFmtId="0" fontId="10" fillId="20" borderId="6" xfId="0" applyNumberFormat="1" applyFont="1" applyFill="1" applyBorder="1" applyAlignment="1" applyProtection="1">
      <alignment horizontal="center" vertical="top" wrapText="1"/>
      <protection locked="0"/>
    </xf>
    <xf numFmtId="1" fontId="13" fillId="9" borderId="6" xfId="0" applyNumberFormat="1" applyFont="1" applyFill="1" applyBorder="1" applyAlignment="1" applyProtection="1">
      <alignment horizontal="center" vertical="top" wrapText="1"/>
      <protection locked="0"/>
    </xf>
    <xf numFmtId="3" fontId="13" fillId="9" borderId="6" xfId="0" applyNumberFormat="1" applyFont="1" applyFill="1" applyBorder="1" applyAlignment="1" applyProtection="1">
      <alignment horizontal="center" vertical="top" wrapText="1"/>
      <protection locked="0"/>
    </xf>
    <xf numFmtId="1" fontId="13" fillId="3" borderId="3" xfId="0" applyNumberFormat="1" applyFont="1" applyFill="1" applyBorder="1" applyAlignment="1" applyProtection="1">
      <alignment horizontal="center" vertical="top" wrapText="1"/>
      <protection locked="0"/>
    </xf>
    <xf numFmtId="1" fontId="13" fillId="4" borderId="3" xfId="0" applyNumberFormat="1" applyFont="1" applyFill="1" applyBorder="1" applyAlignment="1" applyProtection="1">
      <alignment horizontal="center" vertical="top" wrapText="1"/>
      <protection locked="0"/>
    </xf>
    <xf numFmtId="3" fontId="13" fillId="12" borderId="3" xfId="0" applyNumberFormat="1" applyFont="1" applyFill="1" applyBorder="1" applyAlignment="1" applyProtection="1">
      <alignment horizontal="center" vertical="top" wrapText="1"/>
      <protection locked="0"/>
    </xf>
    <xf numFmtId="0" fontId="13" fillId="0" borderId="5" xfId="0" applyFont="1" applyBorder="1" applyAlignment="1" applyProtection="1">
      <alignment horizontal="left" vertical="top" wrapText="1" readingOrder="1"/>
      <protection locked="0"/>
    </xf>
    <xf numFmtId="164" fontId="13" fillId="6" borderId="5" xfId="0" applyNumberFormat="1" applyFont="1" applyFill="1" applyBorder="1" applyAlignment="1" applyProtection="1">
      <alignment horizontal="center" vertical="top" wrapText="1" readingOrder="1"/>
      <protection locked="0"/>
    </xf>
    <xf numFmtId="164" fontId="13" fillId="0" borderId="5" xfId="0" applyNumberFormat="1" applyFont="1" applyBorder="1" applyAlignment="1" applyProtection="1">
      <alignment horizontal="center" vertical="top" wrapText="1" readingOrder="1"/>
      <protection locked="0"/>
    </xf>
    <xf numFmtId="9" fontId="13" fillId="0" borderId="13" xfId="1" applyFont="1" applyBorder="1" applyAlignment="1" applyProtection="1">
      <alignment horizontal="center" vertical="top" wrapText="1" readingOrder="1"/>
    </xf>
    <xf numFmtId="0" fontId="13" fillId="0" borderId="5" xfId="0" applyFont="1" applyBorder="1" applyAlignment="1" applyProtection="1">
      <alignment horizontal="right" vertical="top" wrapText="1" readingOrder="1"/>
      <protection locked="0"/>
    </xf>
    <xf numFmtId="0" fontId="13" fillId="0" borderId="0" xfId="0" applyFont="1" applyBorder="1" applyAlignment="1" applyProtection="1">
      <alignment vertical="top" wrapText="1" readingOrder="1"/>
      <protection locked="0"/>
    </xf>
    <xf numFmtId="0" fontId="13" fillId="0" borderId="0" xfId="0" applyFont="1" applyBorder="1" applyAlignment="1" applyProtection="1">
      <alignment horizontal="left" vertical="top" wrapText="1" readingOrder="1"/>
      <protection locked="0"/>
    </xf>
    <xf numFmtId="164" fontId="13" fillId="0" borderId="0" xfId="0" applyNumberFormat="1" applyFont="1" applyBorder="1" applyAlignment="1" applyProtection="1">
      <alignment horizontal="center" vertical="top" wrapText="1" readingOrder="1"/>
      <protection locked="0"/>
    </xf>
    <xf numFmtId="0" fontId="13" fillId="0" borderId="0" xfId="0" applyFont="1" applyBorder="1" applyAlignment="1" applyProtection="1">
      <alignment horizontal="center" vertical="top" wrapText="1" readingOrder="1"/>
      <protection locked="0"/>
    </xf>
    <xf numFmtId="0" fontId="13" fillId="0" borderId="0" xfId="0" applyFont="1" applyBorder="1" applyAlignment="1" applyProtection="1">
      <alignment horizontal="center" vertical="top" wrapText="1"/>
      <protection locked="0"/>
    </xf>
    <xf numFmtId="0" fontId="13" fillId="0" borderId="0" xfId="0" applyFont="1" applyBorder="1" applyAlignment="1" applyProtection="1">
      <alignment horizontal="right" vertical="top" wrapText="1" readingOrder="1"/>
      <protection locked="0"/>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wrapText="1"/>
    </xf>
    <xf numFmtId="0" fontId="13" fillId="0" borderId="0" xfId="0" applyFont="1" applyBorder="1" applyAlignment="1" applyProtection="1">
      <alignment vertical="center" wrapText="1"/>
    </xf>
    <xf numFmtId="0" fontId="3" fillId="6" borderId="6" xfId="0" applyFont="1" applyFill="1" applyBorder="1" applyAlignment="1" applyProtection="1">
      <alignment vertical="top" wrapText="1" readingOrder="1"/>
      <protection locked="0"/>
    </xf>
    <xf numFmtId="164" fontId="3" fillId="6" borderId="6" xfId="0" applyNumberFormat="1" applyFont="1" applyFill="1" applyBorder="1" applyAlignment="1" applyProtection="1">
      <alignment horizontal="right" vertical="top" wrapText="1" readingOrder="1"/>
    </xf>
    <xf numFmtId="164" fontId="3" fillId="6" borderId="6" xfId="0" applyNumberFormat="1" applyFont="1" applyFill="1" applyBorder="1" applyAlignment="1" applyProtection="1">
      <alignment horizontal="center" vertical="top" wrapText="1" readingOrder="1"/>
    </xf>
    <xf numFmtId="164" fontId="13" fillId="0" borderId="6" xfId="0" applyNumberFormat="1" applyFont="1" applyBorder="1" applyAlignment="1" applyProtection="1">
      <alignment horizontal="right" vertical="top" wrapText="1" readingOrder="1"/>
      <protection locked="0"/>
    </xf>
    <xf numFmtId="0" fontId="3" fillId="5" borderId="6" xfId="0" applyFont="1" applyFill="1" applyBorder="1" applyAlignment="1" applyProtection="1">
      <alignment vertical="top" wrapText="1" readingOrder="1"/>
      <protection locked="0"/>
    </xf>
    <xf numFmtId="164" fontId="3" fillId="5" borderId="6" xfId="0" applyNumberFormat="1" applyFont="1" applyFill="1" applyBorder="1" applyAlignment="1" applyProtection="1">
      <alignment horizontal="right" vertical="top" wrapText="1" readingOrder="1"/>
    </xf>
    <xf numFmtId="164" fontId="3" fillId="5" borderId="6" xfId="0" applyNumberFormat="1" applyFont="1" applyFill="1" applyBorder="1" applyAlignment="1" applyProtection="1">
      <alignment horizontal="center" vertical="top" wrapText="1" readingOrder="1"/>
    </xf>
    <xf numFmtId="0" fontId="12" fillId="0" borderId="0" xfId="0" applyFont="1" applyBorder="1" applyAlignment="1" applyProtection="1">
      <alignment wrapText="1"/>
    </xf>
    <xf numFmtId="0" fontId="12" fillId="0" borderId="0" xfId="0" applyFont="1" applyBorder="1" applyAlignment="1" applyProtection="1">
      <alignment horizontal="center" wrapText="1"/>
    </xf>
    <xf numFmtId="0" fontId="12" fillId="0" borderId="0" xfId="0" applyFont="1" applyBorder="1" applyAlignment="1" applyProtection="1">
      <alignment horizontal="left" wrapText="1"/>
    </xf>
    <xf numFmtId="0" fontId="3" fillId="0" borderId="0" xfId="0" applyFont="1" applyBorder="1" applyAlignment="1" applyProtection="1">
      <alignment vertical="center" wrapText="1" readingOrder="1"/>
    </xf>
    <xf numFmtId="0" fontId="3" fillId="0" borderId="0" xfId="0" applyFont="1" applyBorder="1" applyAlignment="1" applyProtection="1">
      <alignment horizontal="center" vertical="center" wrapText="1" readingOrder="1"/>
    </xf>
    <xf numFmtId="164" fontId="3" fillId="13" borderId="0" xfId="0" applyNumberFormat="1" applyFont="1" applyFill="1" applyBorder="1" applyAlignment="1" applyProtection="1">
      <alignment horizontal="center" vertical="top" wrapText="1" readingOrder="1"/>
    </xf>
    <xf numFmtId="164" fontId="13" fillId="13" borderId="0" xfId="0" applyNumberFormat="1" applyFont="1" applyFill="1" applyBorder="1" applyAlignment="1" applyProtection="1">
      <alignment horizontal="center" vertical="top" wrapText="1" readingOrder="1"/>
      <protection locked="0"/>
    </xf>
    <xf numFmtId="164" fontId="3" fillId="24" borderId="0" xfId="0" applyNumberFormat="1" applyFont="1" applyFill="1" applyBorder="1" applyAlignment="1" applyProtection="1">
      <alignment horizontal="center" vertical="top" wrapText="1" readingOrder="1"/>
    </xf>
    <xf numFmtId="0" fontId="13" fillId="4" borderId="24" xfId="0" applyFont="1" applyFill="1" applyBorder="1" applyAlignment="1" applyProtection="1">
      <alignment horizontal="left" vertical="top" wrapText="1" readingOrder="1"/>
      <protection locked="0"/>
    </xf>
    <xf numFmtId="0" fontId="13" fillId="4" borderId="25" xfId="0" applyFont="1" applyFill="1" applyBorder="1" applyAlignment="1" applyProtection="1">
      <alignment horizontal="left" vertical="top" wrapText="1" readingOrder="1"/>
      <protection locked="0"/>
    </xf>
    <xf numFmtId="0" fontId="13" fillId="0" borderId="11" xfId="0" applyFont="1" applyBorder="1" applyAlignment="1" applyProtection="1">
      <alignment horizontal="left" vertical="top" wrapText="1" readingOrder="1"/>
      <protection locked="0"/>
    </xf>
    <xf numFmtId="0" fontId="13" fillId="0" borderId="12" xfId="0" applyFont="1" applyBorder="1" applyAlignment="1" applyProtection="1">
      <alignment horizontal="left" vertical="top" wrapText="1" readingOrder="1"/>
      <protection locked="0"/>
    </xf>
    <xf numFmtId="0" fontId="13" fillId="0" borderId="13" xfId="0" applyFont="1" applyBorder="1" applyAlignment="1" applyProtection="1">
      <alignment horizontal="left" vertical="top" wrapText="1" readingOrder="1"/>
      <protection locked="0"/>
    </xf>
    <xf numFmtId="0" fontId="13" fillId="0" borderId="11" xfId="0" applyFont="1" applyBorder="1" applyAlignment="1" applyProtection="1">
      <alignment horizontal="center" vertical="top" wrapText="1" readingOrder="1"/>
      <protection locked="0"/>
    </xf>
    <xf numFmtId="0" fontId="13" fillId="0" borderId="12" xfId="0" applyFont="1" applyBorder="1" applyAlignment="1" applyProtection="1">
      <alignment horizontal="center" vertical="top" wrapText="1" readingOrder="1"/>
      <protection locked="0"/>
    </xf>
    <xf numFmtId="0" fontId="13" fillId="0" borderId="13" xfId="0" applyFont="1" applyBorder="1" applyAlignment="1" applyProtection="1">
      <alignment horizontal="center" vertical="top" wrapText="1" readingOrder="1"/>
      <protection locked="0"/>
    </xf>
    <xf numFmtId="0" fontId="13" fillId="0" borderId="11" xfId="0" applyNumberFormat="1" applyFont="1" applyBorder="1" applyAlignment="1" applyProtection="1">
      <alignment horizontal="center" vertical="top" wrapText="1"/>
      <protection locked="0"/>
    </xf>
    <xf numFmtId="0" fontId="13" fillId="0" borderId="12" xfId="0" applyNumberFormat="1" applyFont="1" applyBorder="1" applyAlignment="1" applyProtection="1">
      <alignment horizontal="center" vertical="top" wrapText="1"/>
      <protection locked="0"/>
    </xf>
    <xf numFmtId="0" fontId="13" fillId="0" borderId="13" xfId="0" applyNumberFormat="1" applyFont="1" applyBorder="1" applyAlignment="1" applyProtection="1">
      <alignment horizontal="center" vertical="top" wrapText="1"/>
      <protection locked="0"/>
    </xf>
    <xf numFmtId="0" fontId="13" fillId="12" borderId="11" xfId="0" applyNumberFormat="1" applyFont="1" applyFill="1" applyBorder="1" applyAlignment="1" applyProtection="1">
      <alignment horizontal="center" vertical="top" wrapText="1"/>
      <protection locked="0"/>
    </xf>
    <xf numFmtId="0" fontId="13" fillId="12" borderId="12" xfId="0" applyNumberFormat="1" applyFont="1" applyFill="1" applyBorder="1" applyAlignment="1" applyProtection="1">
      <alignment horizontal="center" vertical="top" wrapText="1"/>
      <protection locked="0"/>
    </xf>
    <xf numFmtId="0" fontId="13" fillId="12" borderId="13" xfId="0" applyNumberFormat="1" applyFont="1" applyFill="1" applyBorder="1" applyAlignment="1" applyProtection="1">
      <alignment horizontal="center" vertical="top" wrapText="1"/>
      <protection locked="0"/>
    </xf>
    <xf numFmtId="0" fontId="14" fillId="0" borderId="18" xfId="0" applyFont="1" applyBorder="1" applyAlignment="1" applyProtection="1">
      <alignment horizontal="left" vertical="top" wrapText="1" readingOrder="1"/>
      <protection locked="0"/>
    </xf>
    <xf numFmtId="0" fontId="14" fillId="0" borderId="20" xfId="0" applyFont="1" applyBorder="1" applyAlignment="1" applyProtection="1">
      <alignment horizontal="left" vertical="top" wrapText="1" readingOrder="1"/>
      <protection locked="0"/>
    </xf>
    <xf numFmtId="0" fontId="14" fillId="0" borderId="19" xfId="0" applyFont="1" applyBorder="1" applyAlignment="1" applyProtection="1">
      <alignment horizontal="left" vertical="top" wrapText="1" readingOrder="1"/>
      <protection locked="0"/>
    </xf>
    <xf numFmtId="0" fontId="13" fillId="0" borderId="18" xfId="0" applyFont="1" applyBorder="1" applyAlignment="1" applyProtection="1">
      <alignment horizontal="left" vertical="top" wrapText="1" readingOrder="1"/>
      <protection locked="0"/>
    </xf>
    <xf numFmtId="0" fontId="13" fillId="0" borderId="20" xfId="0" applyFont="1" applyBorder="1" applyAlignment="1" applyProtection="1">
      <alignment horizontal="left" vertical="top" wrapText="1" readingOrder="1"/>
      <protection locked="0"/>
    </xf>
    <xf numFmtId="0" fontId="13" fillId="0" borderId="19" xfId="0" applyFont="1" applyBorder="1" applyAlignment="1" applyProtection="1">
      <alignment horizontal="left" vertical="top" wrapText="1" readingOrder="1"/>
      <protection locked="0"/>
    </xf>
    <xf numFmtId="0" fontId="13" fillId="3" borderId="24" xfId="0" applyFont="1" applyFill="1" applyBorder="1" applyAlignment="1" applyProtection="1">
      <alignment horizontal="left" vertical="top" wrapText="1" readingOrder="1"/>
      <protection locked="0"/>
    </xf>
    <xf numFmtId="0" fontId="13" fillId="3" borderId="25" xfId="0" applyFont="1" applyFill="1" applyBorder="1" applyAlignment="1" applyProtection="1">
      <alignment horizontal="left" vertical="top" wrapText="1" readingOrder="1"/>
      <protection locked="0"/>
    </xf>
    <xf numFmtId="164" fontId="13" fillId="6" borderId="11" xfId="0" applyNumberFormat="1" applyFont="1" applyFill="1" applyBorder="1" applyAlignment="1" applyProtection="1">
      <alignment horizontal="center" vertical="top" wrapText="1" readingOrder="1"/>
    </xf>
    <xf numFmtId="164" fontId="13" fillId="6" borderId="12" xfId="0" applyNumberFormat="1" applyFont="1" applyFill="1" applyBorder="1" applyAlignment="1" applyProtection="1">
      <alignment horizontal="center" vertical="top" wrapText="1" readingOrder="1"/>
    </xf>
    <xf numFmtId="164" fontId="13" fillId="6" borderId="13" xfId="0" applyNumberFormat="1" applyFont="1" applyFill="1" applyBorder="1" applyAlignment="1" applyProtection="1">
      <alignment horizontal="center" vertical="top" wrapText="1" readingOrder="1"/>
    </xf>
    <xf numFmtId="164" fontId="13" fillId="0" borderId="11" xfId="0" applyNumberFormat="1" applyFont="1" applyBorder="1" applyAlignment="1" applyProtection="1">
      <alignment horizontal="center" vertical="top" wrapText="1" readingOrder="1"/>
    </xf>
    <xf numFmtId="164" fontId="13" fillId="0" borderId="12" xfId="0" applyNumberFormat="1" applyFont="1" applyBorder="1" applyAlignment="1" applyProtection="1">
      <alignment horizontal="center" vertical="top" wrapText="1" readingOrder="1"/>
    </xf>
    <xf numFmtId="164" fontId="13" fillId="0" borderId="13" xfId="0" applyNumberFormat="1" applyFont="1" applyBorder="1" applyAlignment="1" applyProtection="1">
      <alignment horizontal="center" vertical="top" wrapText="1" readingOrder="1"/>
    </xf>
    <xf numFmtId="9" fontId="13" fillId="0" borderId="11" xfId="1" applyFont="1" applyBorder="1" applyAlignment="1" applyProtection="1">
      <alignment horizontal="center" vertical="top" wrapText="1" readingOrder="1"/>
    </xf>
    <xf numFmtId="9" fontId="13" fillId="0" borderId="12" xfId="1" applyFont="1" applyBorder="1" applyAlignment="1" applyProtection="1">
      <alignment horizontal="center" vertical="top" wrapText="1" readingOrder="1"/>
    </xf>
    <xf numFmtId="9" fontId="13" fillId="0" borderId="13" xfId="1" applyFont="1" applyBorder="1" applyAlignment="1" applyProtection="1">
      <alignment horizontal="center" vertical="top" wrapText="1" readingOrder="1"/>
    </xf>
    <xf numFmtId="0" fontId="13" fillId="9" borderId="11" xfId="0" applyNumberFormat="1" applyFont="1" applyFill="1" applyBorder="1" applyAlignment="1" applyProtection="1">
      <alignment horizontal="center" vertical="top" wrapText="1"/>
      <protection locked="0"/>
    </xf>
    <xf numFmtId="0" fontId="13" fillId="9" borderId="13" xfId="0" applyNumberFormat="1" applyFont="1" applyFill="1" applyBorder="1" applyAlignment="1" applyProtection="1">
      <alignment horizontal="center" vertical="top" wrapText="1"/>
      <protection locked="0"/>
    </xf>
    <xf numFmtId="0" fontId="13" fillId="8" borderId="11" xfId="0" applyNumberFormat="1" applyFont="1" applyFill="1" applyBorder="1" applyAlignment="1" applyProtection="1">
      <alignment horizontal="center" vertical="top" wrapText="1"/>
      <protection locked="0"/>
    </xf>
    <xf numFmtId="0" fontId="13" fillId="8" borderId="12" xfId="0" applyNumberFormat="1" applyFont="1" applyFill="1" applyBorder="1" applyAlignment="1" applyProtection="1">
      <alignment horizontal="center" vertical="top" wrapText="1"/>
      <protection locked="0"/>
    </xf>
    <xf numFmtId="0" fontId="13" fillId="8" borderId="13" xfId="0" applyNumberFormat="1" applyFont="1" applyFill="1" applyBorder="1" applyAlignment="1" applyProtection="1">
      <alignment horizontal="center" vertical="top" wrapText="1"/>
      <protection locked="0"/>
    </xf>
    <xf numFmtId="0" fontId="13" fillId="0" borderId="21" xfId="0" applyFont="1" applyBorder="1" applyAlignment="1" applyProtection="1">
      <alignment horizontal="left" vertical="top" wrapText="1" readingOrder="1"/>
      <protection locked="0"/>
    </xf>
    <xf numFmtId="0" fontId="13" fillId="0" borderId="21" xfId="0" applyFont="1" applyBorder="1" applyAlignment="1" applyProtection="1">
      <alignment horizontal="center" vertical="top" wrapText="1" readingOrder="1"/>
      <protection locked="0"/>
    </xf>
    <xf numFmtId="0" fontId="13" fillId="0" borderId="21" xfId="0" applyNumberFormat="1" applyFont="1" applyBorder="1" applyAlignment="1" applyProtection="1">
      <alignment horizontal="center" vertical="top" wrapText="1"/>
      <protection locked="0"/>
    </xf>
    <xf numFmtId="0" fontId="13" fillId="8" borderId="21" xfId="0" applyNumberFormat="1" applyFont="1" applyFill="1" applyBorder="1" applyAlignment="1" applyProtection="1">
      <alignment horizontal="center" vertical="top" wrapText="1"/>
      <protection locked="0"/>
    </xf>
    <xf numFmtId="0" fontId="13" fillId="20" borderId="18" xfId="0" applyFont="1" applyFill="1" applyBorder="1" applyAlignment="1" applyProtection="1">
      <alignment horizontal="left" vertical="top" wrapText="1" readingOrder="1"/>
      <protection locked="0"/>
    </xf>
    <xf numFmtId="0" fontId="13" fillId="20" borderId="19" xfId="0" applyFont="1" applyFill="1" applyBorder="1" applyAlignment="1" applyProtection="1">
      <alignment horizontal="left" vertical="top" wrapText="1" readingOrder="1"/>
      <protection locked="0"/>
    </xf>
    <xf numFmtId="0" fontId="13" fillId="3" borderId="11" xfId="0" applyFont="1" applyFill="1" applyBorder="1" applyAlignment="1" applyProtection="1">
      <alignment horizontal="left" vertical="top" wrapText="1" readingOrder="1"/>
      <protection locked="0"/>
    </xf>
    <xf numFmtId="0" fontId="13" fillId="3" borderId="13" xfId="0" applyFont="1" applyFill="1" applyBorder="1" applyAlignment="1" applyProtection="1">
      <alignment horizontal="left" vertical="top" wrapText="1" readingOrder="1"/>
      <protection locked="0"/>
    </xf>
    <xf numFmtId="0" fontId="13" fillId="3" borderId="14" xfId="0" applyFont="1" applyFill="1" applyBorder="1" applyAlignment="1" applyProtection="1">
      <alignment vertical="top" wrapText="1" readingOrder="1"/>
      <protection locked="0"/>
    </xf>
    <xf numFmtId="0" fontId="13" fillId="3" borderId="16" xfId="0" applyFont="1" applyFill="1" applyBorder="1" applyAlignment="1" applyProtection="1">
      <alignment vertical="top" wrapText="1" readingOrder="1"/>
      <protection locked="0"/>
    </xf>
    <xf numFmtId="0" fontId="13" fillId="3" borderId="11" xfId="0" applyFont="1" applyFill="1" applyBorder="1" applyAlignment="1" applyProtection="1">
      <alignment vertical="top" wrapText="1" readingOrder="1"/>
      <protection locked="0"/>
    </xf>
    <xf numFmtId="0" fontId="13" fillId="3" borderId="13" xfId="0" applyFont="1" applyFill="1" applyBorder="1" applyAlignment="1" applyProtection="1">
      <alignment vertical="top" wrapText="1" readingOrder="1"/>
      <protection locked="0"/>
    </xf>
    <xf numFmtId="0" fontId="13" fillId="3" borderId="11" xfId="0" applyFont="1" applyFill="1" applyBorder="1" applyAlignment="1" applyProtection="1">
      <alignment horizontal="center" vertical="top" wrapText="1" readingOrder="1"/>
      <protection locked="0"/>
    </xf>
    <xf numFmtId="0" fontId="13" fillId="3" borderId="13" xfId="0" applyFont="1" applyFill="1" applyBorder="1" applyAlignment="1" applyProtection="1">
      <alignment horizontal="center" vertical="top" wrapText="1" readingOrder="1"/>
      <protection locked="0"/>
    </xf>
    <xf numFmtId="164" fontId="13" fillId="3" borderId="11" xfId="0" applyNumberFormat="1" applyFont="1" applyFill="1" applyBorder="1" applyAlignment="1" applyProtection="1">
      <alignment horizontal="center" vertical="top" wrapText="1" readingOrder="1"/>
    </xf>
    <xf numFmtId="164" fontId="13" fillId="3" borderId="13" xfId="0" applyNumberFormat="1" applyFont="1" applyFill="1" applyBorder="1" applyAlignment="1" applyProtection="1">
      <alignment horizontal="center" vertical="top" wrapText="1" readingOrder="1"/>
    </xf>
    <xf numFmtId="0" fontId="10" fillId="0" borderId="18" xfId="0" applyFont="1" applyBorder="1" applyAlignment="1" applyProtection="1">
      <alignment horizontal="left" vertical="top" wrapText="1" readingOrder="1"/>
      <protection locked="0"/>
    </xf>
    <xf numFmtId="0" fontId="10" fillId="0" borderId="19" xfId="0" applyFont="1" applyBorder="1" applyAlignment="1" applyProtection="1">
      <alignment horizontal="left" vertical="top" wrapText="1" readingOrder="1"/>
      <protection locked="0"/>
    </xf>
    <xf numFmtId="0" fontId="10" fillId="0" borderId="20" xfId="0" applyFont="1" applyBorder="1" applyAlignment="1" applyProtection="1">
      <alignment horizontal="left" vertical="top" wrapText="1" readingOrder="1"/>
      <protection locked="0"/>
    </xf>
    <xf numFmtId="0" fontId="10" fillId="0" borderId="11" xfId="0" applyFont="1" applyBorder="1" applyAlignment="1" applyProtection="1">
      <alignment horizontal="left" vertical="top" wrapText="1" readingOrder="1"/>
      <protection locked="0"/>
    </xf>
    <xf numFmtId="0" fontId="10" fillId="0" borderId="13" xfId="0" applyFont="1" applyBorder="1" applyAlignment="1" applyProtection="1">
      <alignment horizontal="left" vertical="top" wrapText="1" readingOrder="1"/>
      <protection locked="0"/>
    </xf>
    <xf numFmtId="0" fontId="13" fillId="2" borderId="24" xfId="0" applyFont="1" applyFill="1" applyBorder="1" applyAlignment="1" applyProtection="1">
      <alignment horizontal="left" vertical="top" wrapText="1" readingOrder="1"/>
      <protection locked="0"/>
    </xf>
    <xf numFmtId="0" fontId="13" fillId="2" borderId="25" xfId="0" applyFont="1" applyFill="1" applyBorder="1" applyAlignment="1" applyProtection="1">
      <alignment horizontal="left" vertical="top" wrapText="1" readingOrder="1"/>
      <protection locked="0"/>
    </xf>
    <xf numFmtId="0" fontId="13" fillId="3" borderId="15" xfId="0" applyFont="1" applyFill="1" applyBorder="1" applyAlignment="1" applyProtection="1">
      <alignment vertical="top" wrapText="1" readingOrder="1"/>
      <protection locked="0"/>
    </xf>
    <xf numFmtId="0" fontId="13" fillId="3" borderId="12" xfId="0" applyFont="1" applyFill="1" applyBorder="1" applyAlignment="1" applyProtection="1">
      <alignment vertical="top" wrapText="1" readingOrder="1"/>
      <protection locked="0"/>
    </xf>
    <xf numFmtId="0" fontId="13" fillId="3" borderId="12" xfId="0" applyFont="1" applyFill="1" applyBorder="1" applyAlignment="1" applyProtection="1">
      <alignment horizontal="center" vertical="top" wrapText="1" readingOrder="1"/>
      <protection locked="0"/>
    </xf>
    <xf numFmtId="164" fontId="13" fillId="3" borderId="12" xfId="0" applyNumberFormat="1" applyFont="1" applyFill="1" applyBorder="1" applyAlignment="1" applyProtection="1">
      <alignment horizontal="center" vertical="top" wrapText="1" readingOrder="1"/>
    </xf>
    <xf numFmtId="9" fontId="13" fillId="3" borderId="11" xfId="1" applyFont="1" applyFill="1" applyBorder="1" applyAlignment="1" applyProtection="1">
      <alignment horizontal="center" vertical="top" wrapText="1" readingOrder="1"/>
    </xf>
    <xf numFmtId="9" fontId="13" fillId="3" borderId="12" xfId="1" applyFont="1" applyFill="1" applyBorder="1" applyAlignment="1" applyProtection="1">
      <alignment horizontal="center" vertical="top" wrapText="1" readingOrder="1"/>
    </xf>
    <xf numFmtId="9" fontId="13" fillId="3" borderId="13" xfId="1" applyFont="1" applyFill="1" applyBorder="1" applyAlignment="1" applyProtection="1">
      <alignment horizontal="center" vertical="top" wrapText="1" readingOrder="1"/>
    </xf>
    <xf numFmtId="0" fontId="13" fillId="3" borderId="12" xfId="0" applyFont="1" applyFill="1" applyBorder="1" applyAlignment="1" applyProtection="1">
      <alignment horizontal="left" vertical="top" wrapText="1" readingOrder="1"/>
      <protection locked="0"/>
    </xf>
    <xf numFmtId="0" fontId="13" fillId="3" borderId="18" xfId="0" applyFont="1" applyFill="1" applyBorder="1" applyAlignment="1" applyProtection="1">
      <alignment horizontal="left" vertical="top" wrapText="1" readingOrder="1"/>
      <protection locked="0"/>
    </xf>
    <xf numFmtId="0" fontId="13" fillId="3" borderId="20" xfId="0" applyFont="1" applyFill="1" applyBorder="1" applyAlignment="1" applyProtection="1">
      <alignment horizontal="left" vertical="top" wrapText="1" readingOrder="1"/>
      <protection locked="0"/>
    </xf>
    <xf numFmtId="0" fontId="13" fillId="3" borderId="19" xfId="0" applyFont="1" applyFill="1" applyBorder="1" applyAlignment="1" applyProtection="1">
      <alignment horizontal="left" vertical="top" wrapText="1" readingOrder="1"/>
      <protection locked="0"/>
    </xf>
    <xf numFmtId="0" fontId="13" fillId="0" borderId="14" xfId="0" applyFont="1" applyBorder="1" applyAlignment="1" applyProtection="1">
      <alignment vertical="top" wrapText="1" readingOrder="1"/>
      <protection locked="0"/>
    </xf>
    <xf numFmtId="0" fontId="13" fillId="0" borderId="16" xfId="0" applyFont="1" applyBorder="1" applyAlignment="1" applyProtection="1">
      <alignment vertical="top" wrapText="1" readingOrder="1"/>
      <protection locked="0"/>
    </xf>
    <xf numFmtId="0" fontId="13" fillId="0" borderId="11" xfId="0" applyFont="1" applyBorder="1" applyAlignment="1" applyProtection="1">
      <alignment vertical="top" wrapText="1" readingOrder="1"/>
      <protection locked="0"/>
    </xf>
    <xf numFmtId="0" fontId="13" fillId="0" borderId="13" xfId="0" applyFont="1" applyBorder="1" applyAlignment="1" applyProtection="1">
      <alignment vertical="top" wrapText="1" readingOrder="1"/>
      <protection locked="0"/>
    </xf>
    <xf numFmtId="0" fontId="13" fillId="0" borderId="15" xfId="0" applyFont="1" applyBorder="1" applyAlignment="1" applyProtection="1">
      <alignment vertical="top" wrapText="1" readingOrder="1"/>
      <protection locked="0"/>
    </xf>
    <xf numFmtId="0" fontId="13" fillId="12" borderId="21" xfId="0" applyNumberFormat="1" applyFont="1" applyFill="1" applyBorder="1" applyAlignment="1" applyProtection="1">
      <alignment horizontal="center" vertical="top" wrapText="1"/>
      <protection locked="0"/>
    </xf>
    <xf numFmtId="0" fontId="13" fillId="0" borderId="22" xfId="0" applyFont="1" applyBorder="1" applyAlignment="1" applyProtection="1">
      <alignment horizontal="left" vertical="top" wrapText="1" readingOrder="1"/>
      <protection locked="0"/>
    </xf>
    <xf numFmtId="3" fontId="13" fillId="0" borderId="21" xfId="0" applyNumberFormat="1" applyFont="1" applyBorder="1" applyAlignment="1" applyProtection="1">
      <alignment horizontal="center" vertical="top" wrapText="1"/>
      <protection locked="0"/>
    </xf>
    <xf numFmtId="3" fontId="13" fillId="0" borderId="12" xfId="0" applyNumberFormat="1" applyFont="1" applyBorder="1" applyAlignment="1" applyProtection="1">
      <alignment horizontal="center" vertical="top" wrapText="1"/>
      <protection locked="0"/>
    </xf>
    <xf numFmtId="3" fontId="13" fillId="0" borderId="13" xfId="0" applyNumberFormat="1" applyFont="1" applyBorder="1" applyAlignment="1" applyProtection="1">
      <alignment horizontal="center" vertical="top" wrapText="1"/>
      <protection locked="0"/>
    </xf>
    <xf numFmtId="3" fontId="13" fillId="12" borderId="21" xfId="0" applyNumberFormat="1" applyFont="1" applyFill="1" applyBorder="1" applyAlignment="1" applyProtection="1">
      <alignment horizontal="center" vertical="top" wrapText="1"/>
      <protection locked="0"/>
    </xf>
    <xf numFmtId="3" fontId="13" fillId="12" borderId="12" xfId="0" applyNumberFormat="1" applyFont="1" applyFill="1" applyBorder="1" applyAlignment="1" applyProtection="1">
      <alignment horizontal="center" vertical="top" wrapText="1"/>
      <protection locked="0"/>
    </xf>
    <xf numFmtId="3" fontId="13" fillId="12" borderId="13" xfId="0" applyNumberFormat="1" applyFont="1" applyFill="1" applyBorder="1" applyAlignment="1" applyProtection="1">
      <alignment horizontal="center" vertical="top" wrapText="1"/>
      <protection locked="0"/>
    </xf>
    <xf numFmtId="0" fontId="10" fillId="0" borderId="12" xfId="0" applyFont="1" applyBorder="1" applyAlignment="1" applyProtection="1">
      <alignment horizontal="left" vertical="top" wrapText="1" readingOrder="1"/>
      <protection locked="0"/>
    </xf>
    <xf numFmtId="0" fontId="10" fillId="0" borderId="11" xfId="0" applyFont="1" applyBorder="1" applyAlignment="1" applyProtection="1">
      <alignment horizontal="center" vertical="top" wrapText="1" readingOrder="1"/>
      <protection locked="0"/>
    </xf>
    <xf numFmtId="0" fontId="10" fillId="0" borderId="12" xfId="0" applyFont="1" applyBorder="1" applyAlignment="1" applyProtection="1">
      <alignment horizontal="center" vertical="top" wrapText="1" readingOrder="1"/>
      <protection locked="0"/>
    </xf>
    <xf numFmtId="0" fontId="10" fillId="0" borderId="13" xfId="0" applyFont="1" applyBorder="1" applyAlignment="1" applyProtection="1">
      <alignment horizontal="center" vertical="top" wrapText="1" readingOrder="1"/>
      <protection locked="0"/>
    </xf>
    <xf numFmtId="0" fontId="13" fillId="7" borderId="11" xfId="0" applyNumberFormat="1" applyFont="1" applyFill="1" applyBorder="1" applyAlignment="1" applyProtection="1">
      <alignment horizontal="center" vertical="top" wrapText="1"/>
      <protection locked="0"/>
    </xf>
    <xf numFmtId="0" fontId="13" fillId="7" borderId="12" xfId="0" applyNumberFormat="1" applyFont="1" applyFill="1" applyBorder="1" applyAlignment="1" applyProtection="1">
      <alignment horizontal="center" vertical="top" wrapText="1"/>
      <protection locked="0"/>
    </xf>
    <xf numFmtId="0" fontId="13" fillId="7" borderId="13" xfId="0" applyNumberFormat="1" applyFont="1" applyFill="1" applyBorder="1" applyAlignment="1" applyProtection="1">
      <alignment horizontal="center" vertical="top" wrapText="1"/>
      <protection locked="0"/>
    </xf>
    <xf numFmtId="0" fontId="10" fillId="0" borderId="21" xfId="0" applyFont="1" applyBorder="1" applyAlignment="1" applyProtection="1">
      <alignment horizontal="left" vertical="top" wrapText="1" readingOrder="1"/>
      <protection locked="0"/>
    </xf>
    <xf numFmtId="0" fontId="13" fillId="9" borderId="12" xfId="0" applyNumberFormat="1" applyFont="1" applyFill="1" applyBorder="1" applyAlignment="1" applyProtection="1">
      <alignment horizontal="center" vertical="top" wrapText="1"/>
      <protection locked="0"/>
    </xf>
    <xf numFmtId="3" fontId="13" fillId="9" borderId="21" xfId="0" applyNumberFormat="1" applyFont="1" applyFill="1" applyBorder="1" applyAlignment="1" applyProtection="1">
      <alignment horizontal="center" vertical="top" wrapText="1"/>
      <protection locked="0"/>
    </xf>
    <xf numFmtId="3" fontId="13" fillId="9" borderId="12" xfId="0" applyNumberFormat="1" applyFont="1" applyFill="1" applyBorder="1" applyAlignment="1" applyProtection="1">
      <alignment horizontal="center" vertical="top" wrapText="1"/>
      <protection locked="0"/>
    </xf>
    <xf numFmtId="3" fontId="13" fillId="9" borderId="13" xfId="0" applyNumberFormat="1" applyFont="1" applyFill="1" applyBorder="1" applyAlignment="1" applyProtection="1">
      <alignment horizontal="center" vertical="top" wrapText="1"/>
      <protection locked="0"/>
    </xf>
    <xf numFmtId="0" fontId="13" fillId="9" borderId="21" xfId="0" applyNumberFormat="1" applyFont="1" applyFill="1" applyBorder="1" applyAlignment="1" applyProtection="1">
      <alignment horizontal="center" vertical="top" wrapText="1"/>
      <protection locked="0"/>
    </xf>
    <xf numFmtId="0" fontId="13" fillId="3" borderId="30" xfId="0" applyFont="1" applyFill="1" applyBorder="1" applyAlignment="1" applyProtection="1">
      <alignment horizontal="left" vertical="top" wrapText="1" readingOrder="1"/>
      <protection locked="0"/>
    </xf>
    <xf numFmtId="0" fontId="13" fillId="3" borderId="31" xfId="0" applyFont="1" applyFill="1" applyBorder="1" applyAlignment="1" applyProtection="1">
      <alignment horizontal="left" vertical="top" wrapText="1" readingOrder="1"/>
      <protection locked="0"/>
    </xf>
    <xf numFmtId="0" fontId="13" fillId="3" borderId="34" xfId="0" applyFont="1" applyFill="1" applyBorder="1" applyAlignment="1" applyProtection="1">
      <alignment horizontal="left" vertical="top" wrapText="1" readingOrder="1"/>
      <protection locked="0"/>
    </xf>
    <xf numFmtId="0" fontId="13" fillId="3" borderId="35" xfId="0" applyFont="1" applyFill="1" applyBorder="1" applyAlignment="1" applyProtection="1">
      <alignment horizontal="left" vertical="top" wrapText="1" readingOrder="1"/>
      <protection locked="0"/>
    </xf>
    <xf numFmtId="0" fontId="13" fillId="3" borderId="32" xfId="0" applyFont="1" applyFill="1" applyBorder="1" applyAlignment="1" applyProtection="1">
      <alignment horizontal="left" vertical="top" wrapText="1" readingOrder="1"/>
      <protection locked="0"/>
    </xf>
    <xf numFmtId="0" fontId="13" fillId="3" borderId="33" xfId="0" applyFont="1" applyFill="1" applyBorder="1" applyAlignment="1" applyProtection="1">
      <alignment horizontal="left" vertical="top" wrapText="1" readingOrder="1"/>
      <protection locked="0"/>
    </xf>
    <xf numFmtId="1" fontId="13" fillId="0" borderId="11" xfId="0" applyNumberFormat="1" applyFont="1" applyBorder="1" applyAlignment="1" applyProtection="1">
      <alignment horizontal="center" vertical="top" wrapText="1"/>
      <protection locked="0"/>
    </xf>
    <xf numFmtId="1" fontId="13" fillId="0" borderId="13" xfId="0" applyNumberFormat="1" applyFont="1" applyBorder="1" applyAlignment="1" applyProtection="1">
      <alignment horizontal="center" vertical="top" wrapText="1"/>
      <protection locked="0"/>
    </xf>
    <xf numFmtId="1" fontId="13" fillId="10" borderId="11" xfId="0" applyNumberFormat="1" applyFont="1" applyFill="1" applyBorder="1" applyAlignment="1" applyProtection="1">
      <alignment horizontal="center" vertical="top" wrapText="1"/>
      <protection locked="0"/>
    </xf>
    <xf numFmtId="1" fontId="13" fillId="10" borderId="13" xfId="0" applyNumberFormat="1" applyFont="1" applyFill="1" applyBorder="1" applyAlignment="1" applyProtection="1">
      <alignment horizontal="center" vertical="top" wrapText="1"/>
      <protection locked="0"/>
    </xf>
    <xf numFmtId="1" fontId="13" fillId="0" borderId="12" xfId="0" applyNumberFormat="1" applyFont="1" applyBorder="1" applyAlignment="1" applyProtection="1">
      <alignment horizontal="center" vertical="top" wrapText="1"/>
      <protection locked="0"/>
    </xf>
    <xf numFmtId="3" fontId="13" fillId="9" borderId="11" xfId="0" applyNumberFormat="1" applyFont="1" applyFill="1" applyBorder="1" applyAlignment="1" applyProtection="1">
      <alignment horizontal="center" vertical="top" wrapText="1"/>
      <protection locked="0"/>
    </xf>
    <xf numFmtId="0" fontId="13" fillId="18" borderId="11" xfId="0" applyNumberFormat="1" applyFont="1" applyFill="1" applyBorder="1" applyAlignment="1" applyProtection="1">
      <alignment horizontal="center" vertical="top" wrapText="1"/>
      <protection locked="0"/>
    </xf>
    <xf numFmtId="0" fontId="13" fillId="18" borderId="12" xfId="0" applyNumberFormat="1" applyFont="1" applyFill="1" applyBorder="1" applyAlignment="1" applyProtection="1">
      <alignment horizontal="center" vertical="top" wrapText="1"/>
      <protection locked="0"/>
    </xf>
    <xf numFmtId="0" fontId="13" fillId="18" borderId="13" xfId="0" applyNumberFormat="1" applyFont="1" applyFill="1" applyBorder="1" applyAlignment="1" applyProtection="1">
      <alignment horizontal="center" vertical="top" wrapText="1"/>
      <protection locked="0"/>
    </xf>
    <xf numFmtId="0" fontId="13" fillId="7" borderId="21" xfId="0" applyNumberFormat="1" applyFont="1" applyFill="1" applyBorder="1" applyAlignment="1" applyProtection="1">
      <alignment horizontal="center" vertical="top" wrapText="1"/>
      <protection locked="0"/>
    </xf>
    <xf numFmtId="0" fontId="10" fillId="7" borderId="21" xfId="0" applyNumberFormat="1" applyFont="1" applyFill="1" applyBorder="1" applyAlignment="1" applyProtection="1">
      <alignment horizontal="center" vertical="top" wrapText="1"/>
      <protection locked="0"/>
    </xf>
    <xf numFmtId="0" fontId="10" fillId="7" borderId="13" xfId="0" applyNumberFormat="1" applyFont="1" applyFill="1" applyBorder="1" applyAlignment="1" applyProtection="1">
      <alignment horizontal="center" vertical="top" wrapText="1"/>
      <protection locked="0"/>
    </xf>
    <xf numFmtId="0" fontId="13" fillId="0" borderId="12" xfId="0" applyFont="1" applyBorder="1" applyAlignment="1" applyProtection="1">
      <alignment vertical="top" wrapText="1" readingOrder="1"/>
      <protection locked="0"/>
    </xf>
    <xf numFmtId="0" fontId="10" fillId="16" borderId="21" xfId="0" applyNumberFormat="1" applyFont="1" applyFill="1" applyBorder="1" applyAlignment="1" applyProtection="1">
      <alignment horizontal="center" vertical="top" wrapText="1"/>
      <protection locked="0"/>
    </xf>
    <xf numFmtId="0" fontId="10" fillId="16" borderId="12" xfId="0" applyNumberFormat="1" applyFont="1" applyFill="1" applyBorder="1" applyAlignment="1" applyProtection="1">
      <alignment horizontal="center" vertical="top" wrapText="1"/>
      <protection locked="0"/>
    </xf>
    <xf numFmtId="0" fontId="10" fillId="16" borderId="13" xfId="0" applyNumberFormat="1" applyFont="1" applyFill="1" applyBorder="1" applyAlignment="1" applyProtection="1">
      <alignment horizontal="center" vertical="top" wrapText="1"/>
      <protection locked="0"/>
    </xf>
    <xf numFmtId="3" fontId="13" fillId="0" borderId="11" xfId="0" applyNumberFormat="1" applyFont="1" applyBorder="1" applyAlignment="1" applyProtection="1">
      <alignment horizontal="center" vertical="top" wrapText="1"/>
      <protection locked="0"/>
    </xf>
    <xf numFmtId="3" fontId="13" fillId="12" borderId="11" xfId="0" applyNumberFormat="1" applyFont="1" applyFill="1" applyBorder="1" applyAlignment="1" applyProtection="1">
      <alignment horizontal="center" vertical="top" wrapText="1"/>
      <protection locked="0"/>
    </xf>
    <xf numFmtId="3" fontId="13" fillId="8" borderId="21" xfId="0" applyNumberFormat="1" applyFont="1" applyFill="1" applyBorder="1" applyAlignment="1" applyProtection="1">
      <alignment horizontal="center" vertical="top" wrapText="1"/>
      <protection locked="0"/>
    </xf>
    <xf numFmtId="3" fontId="13" fillId="8" borderId="12" xfId="0" applyNumberFormat="1" applyFont="1" applyFill="1" applyBorder="1" applyAlignment="1" applyProtection="1">
      <alignment horizontal="center" vertical="top" wrapText="1"/>
      <protection locked="0"/>
    </xf>
    <xf numFmtId="3" fontId="13" fillId="8" borderId="13" xfId="0" applyNumberFormat="1" applyFont="1" applyFill="1" applyBorder="1" applyAlignment="1" applyProtection="1">
      <alignment horizontal="center" vertical="top" wrapText="1"/>
      <protection locked="0"/>
    </xf>
    <xf numFmtId="0" fontId="14" fillId="0" borderId="11" xfId="0" applyFont="1" applyBorder="1" applyAlignment="1" applyProtection="1">
      <alignment horizontal="left" vertical="top" wrapText="1" readingOrder="1"/>
      <protection locked="0"/>
    </xf>
    <xf numFmtId="0" fontId="14" fillId="0" borderId="12" xfId="0" applyFont="1" applyBorder="1" applyAlignment="1" applyProtection="1">
      <alignment horizontal="left" vertical="top" wrapText="1" readingOrder="1"/>
      <protection locked="0"/>
    </xf>
    <xf numFmtId="0" fontId="14" fillId="0" borderId="13" xfId="0" applyFont="1" applyBorder="1" applyAlignment="1" applyProtection="1">
      <alignment horizontal="left" vertical="top" wrapText="1" readingOrder="1"/>
      <protection locked="0"/>
    </xf>
    <xf numFmtId="0" fontId="13" fillId="8" borderId="11" xfId="0" applyFont="1" applyFill="1" applyBorder="1" applyAlignment="1" applyProtection="1">
      <alignment horizontal="center" vertical="top" wrapText="1"/>
      <protection locked="0"/>
    </xf>
    <xf numFmtId="0" fontId="13" fillId="8" borderId="13" xfId="0" applyFont="1" applyFill="1" applyBorder="1" applyAlignment="1" applyProtection="1">
      <alignment horizontal="center" vertical="top" wrapText="1"/>
      <protection locked="0"/>
    </xf>
    <xf numFmtId="0" fontId="13" fillId="16" borderId="11" xfId="0" applyFont="1" applyFill="1" applyBorder="1" applyAlignment="1" applyProtection="1">
      <alignment horizontal="center" vertical="top" wrapText="1"/>
      <protection locked="0"/>
    </xf>
    <xf numFmtId="0" fontId="13" fillId="16" borderId="13" xfId="0" applyFont="1" applyFill="1" applyBorder="1" applyAlignment="1" applyProtection="1">
      <alignment horizontal="center" vertical="top" wrapText="1"/>
      <protection locked="0"/>
    </xf>
    <xf numFmtId="0" fontId="13" fillId="0" borderId="21" xfId="0" applyFont="1" applyBorder="1" applyAlignment="1" applyProtection="1">
      <alignment horizontal="center" vertical="top" wrapText="1"/>
      <protection locked="0"/>
    </xf>
    <xf numFmtId="0" fontId="13" fillId="0" borderId="13" xfId="0" applyFont="1" applyBorder="1" applyAlignment="1" applyProtection="1">
      <alignment horizontal="center" vertical="top" wrapText="1"/>
      <protection locked="0"/>
    </xf>
    <xf numFmtId="0" fontId="13" fillId="10" borderId="11" xfId="0" applyNumberFormat="1" applyFont="1" applyFill="1" applyBorder="1" applyAlignment="1" applyProtection="1">
      <alignment horizontal="center" vertical="top" wrapText="1"/>
      <protection locked="0"/>
    </xf>
    <xf numFmtId="0" fontId="13" fillId="10" borderId="12" xfId="0" applyNumberFormat="1" applyFont="1" applyFill="1" applyBorder="1" applyAlignment="1" applyProtection="1">
      <alignment horizontal="center" vertical="top" wrapText="1"/>
      <protection locked="0"/>
    </xf>
    <xf numFmtId="0" fontId="13" fillId="10" borderId="13" xfId="0" applyNumberFormat="1" applyFont="1" applyFill="1" applyBorder="1" applyAlignment="1" applyProtection="1">
      <alignment horizontal="center" vertical="top" wrapText="1"/>
      <protection locked="0"/>
    </xf>
    <xf numFmtId="0" fontId="13" fillId="4" borderId="30" xfId="0" applyFont="1" applyFill="1" applyBorder="1" applyAlignment="1" applyProtection="1">
      <alignment horizontal="left" vertical="top" wrapText="1" readingOrder="1"/>
      <protection locked="0"/>
    </xf>
    <xf numFmtId="0" fontId="13" fillId="4" borderId="31" xfId="0" applyFont="1" applyFill="1" applyBorder="1" applyAlignment="1" applyProtection="1">
      <alignment horizontal="left" vertical="top" wrapText="1" readingOrder="1"/>
      <protection locked="0"/>
    </xf>
    <xf numFmtId="0" fontId="13" fillId="21" borderId="11" xfId="0" applyFont="1" applyFill="1" applyBorder="1" applyAlignment="1" applyProtection="1">
      <alignment horizontal="center" vertical="top" wrapText="1" readingOrder="1"/>
      <protection locked="0"/>
    </xf>
    <xf numFmtId="0" fontId="13" fillId="21" borderId="13" xfId="0" applyFont="1" applyFill="1" applyBorder="1" applyAlignment="1" applyProtection="1">
      <alignment horizontal="center" vertical="top" wrapText="1" readingOrder="1"/>
      <protection locked="0"/>
    </xf>
    <xf numFmtId="164" fontId="13" fillId="21" borderId="11" xfId="0" applyNumberFormat="1" applyFont="1" applyFill="1" applyBorder="1" applyAlignment="1" applyProtection="1">
      <alignment horizontal="center" vertical="top" wrapText="1" readingOrder="1"/>
    </xf>
    <xf numFmtId="164" fontId="13" fillId="21" borderId="13" xfId="0" applyNumberFormat="1" applyFont="1" applyFill="1" applyBorder="1" applyAlignment="1" applyProtection="1">
      <alignment horizontal="center" vertical="top" wrapText="1" readingOrder="1"/>
    </xf>
    <xf numFmtId="9" fontId="13" fillId="21" borderId="11" xfId="1" applyFont="1" applyFill="1" applyBorder="1" applyAlignment="1" applyProtection="1">
      <alignment horizontal="center" vertical="top" wrapText="1" readingOrder="1"/>
    </xf>
    <xf numFmtId="9" fontId="13" fillId="21" borderId="13" xfId="1" applyFont="1" applyFill="1" applyBorder="1" applyAlignment="1" applyProtection="1">
      <alignment horizontal="center" vertical="top" wrapText="1" readingOrder="1"/>
    </xf>
    <xf numFmtId="3" fontId="18" fillId="0" borderId="11" xfId="0" applyNumberFormat="1" applyFont="1" applyBorder="1" applyAlignment="1" applyProtection="1">
      <alignment horizontal="center" vertical="top" wrapText="1"/>
      <protection locked="0"/>
    </xf>
    <xf numFmtId="3" fontId="18" fillId="0" borderId="12" xfId="0" applyNumberFormat="1" applyFont="1" applyBorder="1" applyAlignment="1" applyProtection="1">
      <alignment horizontal="center" vertical="top" wrapText="1"/>
      <protection locked="0"/>
    </xf>
    <xf numFmtId="3" fontId="18" fillId="0" borderId="13" xfId="0" applyNumberFormat="1" applyFont="1" applyBorder="1" applyAlignment="1" applyProtection="1">
      <alignment horizontal="center" vertical="top" wrapText="1"/>
      <protection locked="0"/>
    </xf>
    <xf numFmtId="3" fontId="18" fillId="12" borderId="11" xfId="0" applyNumberFormat="1" applyFont="1" applyFill="1" applyBorder="1" applyAlignment="1" applyProtection="1">
      <alignment horizontal="center" vertical="top" wrapText="1"/>
      <protection locked="0"/>
    </xf>
    <xf numFmtId="3" fontId="18" fillId="12" borderId="12" xfId="0" applyNumberFormat="1" applyFont="1" applyFill="1" applyBorder="1" applyAlignment="1" applyProtection="1">
      <alignment horizontal="center" vertical="top" wrapText="1"/>
      <protection locked="0"/>
    </xf>
    <xf numFmtId="3" fontId="18" fillId="12" borderId="13" xfId="0" applyNumberFormat="1" applyFont="1" applyFill="1" applyBorder="1" applyAlignment="1" applyProtection="1">
      <alignment horizontal="center" vertical="top" wrapText="1"/>
      <protection locked="0"/>
    </xf>
    <xf numFmtId="0" fontId="10" fillId="22" borderId="11" xfId="0" applyNumberFormat="1" applyFont="1" applyFill="1" applyBorder="1" applyAlignment="1" applyProtection="1">
      <alignment horizontal="center" vertical="top" wrapText="1"/>
      <protection locked="0"/>
    </xf>
    <xf numFmtId="0" fontId="10" fillId="22" borderId="12" xfId="0" applyNumberFormat="1" applyFont="1" applyFill="1" applyBorder="1" applyAlignment="1" applyProtection="1">
      <alignment horizontal="center" vertical="top" wrapText="1"/>
      <protection locked="0"/>
    </xf>
    <xf numFmtId="0" fontId="10" fillId="22" borderId="13" xfId="0" applyNumberFormat="1" applyFont="1" applyFill="1" applyBorder="1" applyAlignment="1" applyProtection="1">
      <alignment horizontal="center" vertical="top" wrapText="1"/>
      <protection locked="0"/>
    </xf>
    <xf numFmtId="0" fontId="10" fillId="13" borderId="21" xfId="0" applyFont="1" applyFill="1" applyBorder="1" applyAlignment="1" applyProtection="1">
      <alignment horizontal="center" vertical="top" wrapText="1"/>
      <protection locked="0"/>
    </xf>
    <xf numFmtId="0" fontId="10" fillId="13" borderId="13" xfId="0" applyFont="1" applyFill="1" applyBorder="1" applyAlignment="1" applyProtection="1">
      <alignment horizontal="center" vertical="top" wrapText="1"/>
      <protection locked="0"/>
    </xf>
    <xf numFmtId="0" fontId="10" fillId="11" borderId="21" xfId="0" applyFont="1" applyFill="1" applyBorder="1" applyAlignment="1" applyProtection="1">
      <alignment horizontal="center" vertical="top" wrapText="1"/>
      <protection locked="0"/>
    </xf>
    <xf numFmtId="0" fontId="10" fillId="11" borderId="13" xfId="0" applyFont="1" applyFill="1" applyBorder="1" applyAlignment="1" applyProtection="1">
      <alignment horizontal="center" vertical="top" wrapText="1"/>
      <protection locked="0"/>
    </xf>
    <xf numFmtId="0" fontId="10" fillId="0" borderId="22" xfId="0" applyFont="1" applyBorder="1" applyAlignment="1" applyProtection="1">
      <alignment horizontal="left" vertical="top" wrapText="1" readingOrder="1"/>
      <protection locked="0"/>
    </xf>
    <xf numFmtId="0" fontId="14" fillId="0" borderId="21" xfId="0" applyFont="1" applyBorder="1" applyAlignment="1" applyProtection="1">
      <alignment horizontal="left" vertical="top" wrapText="1" readingOrder="1"/>
      <protection locked="0"/>
    </xf>
    <xf numFmtId="0" fontId="13" fillId="20" borderId="28" xfId="0" applyFont="1" applyFill="1" applyBorder="1" applyAlignment="1" applyProtection="1">
      <alignment horizontal="left" vertical="top" wrapText="1" readingOrder="1"/>
      <protection locked="0"/>
    </xf>
    <xf numFmtId="0" fontId="13" fillId="20" borderId="29" xfId="0" applyFont="1" applyFill="1" applyBorder="1" applyAlignment="1" applyProtection="1">
      <alignment horizontal="left" vertical="top" wrapText="1" readingOrder="1"/>
      <protection locked="0"/>
    </xf>
    <xf numFmtId="0" fontId="10" fillId="16" borderId="11" xfId="0" applyNumberFormat="1" applyFont="1" applyFill="1" applyBorder="1" applyAlignment="1" applyProtection="1">
      <alignment horizontal="center" vertical="top" wrapText="1"/>
      <protection locked="0"/>
    </xf>
    <xf numFmtId="0" fontId="13" fillId="3" borderId="26" xfId="0" applyFont="1" applyFill="1" applyBorder="1" applyAlignment="1" applyProtection="1">
      <alignment horizontal="left" vertical="top" wrapText="1" readingOrder="1"/>
      <protection locked="0"/>
    </xf>
    <xf numFmtId="0" fontId="13" fillId="3" borderId="27" xfId="0" applyFont="1" applyFill="1" applyBorder="1" applyAlignment="1" applyProtection="1">
      <alignment horizontal="left" vertical="top" wrapText="1" readingOrder="1"/>
      <protection locked="0"/>
    </xf>
    <xf numFmtId="0" fontId="3" fillId="0" borderId="6" xfId="0" applyFont="1" applyBorder="1" applyAlignment="1" applyProtection="1">
      <alignment vertical="center" wrapText="1" readingOrder="1"/>
    </xf>
    <xf numFmtId="0" fontId="3" fillId="0" borderId="21" xfId="0" applyFont="1" applyBorder="1" applyAlignment="1" applyProtection="1">
      <alignment horizontal="center" vertical="center" wrapText="1" readingOrder="1"/>
    </xf>
    <xf numFmtId="0" fontId="3" fillId="0" borderId="17" xfId="0" applyFont="1" applyBorder="1" applyAlignment="1" applyProtection="1">
      <alignment horizontal="center" vertical="center" wrapText="1" readingOrder="1"/>
    </xf>
    <xf numFmtId="0" fontId="3" fillId="13" borderId="11" xfId="0" applyFont="1" applyFill="1" applyBorder="1" applyAlignment="1" applyProtection="1">
      <alignment horizontal="center" vertical="center" wrapText="1" readingOrder="1"/>
    </xf>
    <xf numFmtId="0" fontId="3" fillId="13" borderId="12" xfId="0" applyFont="1" applyFill="1" applyBorder="1" applyAlignment="1" applyProtection="1">
      <alignment horizontal="center" vertical="center" wrapText="1" readingOrder="1"/>
    </xf>
    <xf numFmtId="0" fontId="3" fillId="13" borderId="13" xfId="0" applyFont="1" applyFill="1" applyBorder="1" applyAlignment="1" applyProtection="1">
      <alignment horizontal="center" vertical="center" wrapText="1" readingOrder="1"/>
    </xf>
    <xf numFmtId="0" fontId="3" fillId="0" borderId="1" xfId="0" applyFont="1" applyBorder="1" applyAlignment="1" applyProtection="1">
      <alignment vertical="center" wrapText="1" readingOrder="1"/>
    </xf>
    <xf numFmtId="0" fontId="3" fillId="0" borderId="11" xfId="0" applyFont="1" applyBorder="1" applyAlignment="1" applyProtection="1">
      <alignment horizontal="center" vertical="center" wrapText="1" readingOrder="1"/>
    </xf>
    <xf numFmtId="0" fontId="3" fillId="0" borderId="12" xfId="0" applyFont="1" applyBorder="1" applyAlignment="1" applyProtection="1">
      <alignment horizontal="center" vertical="center" wrapText="1" readingOrder="1"/>
    </xf>
    <xf numFmtId="0" fontId="3" fillId="0" borderId="13" xfId="0" applyFont="1" applyBorder="1" applyAlignment="1" applyProtection="1">
      <alignment horizontal="center" vertical="center" wrapText="1" readingOrder="1"/>
    </xf>
    <xf numFmtId="0" fontId="3" fillId="0" borderId="2" xfId="0" applyFont="1" applyBorder="1" applyAlignment="1" applyProtection="1">
      <alignment horizontal="center" vertical="center" wrapText="1" readingOrder="1"/>
    </xf>
    <xf numFmtId="0" fontId="3" fillId="0" borderId="5" xfId="0" applyFont="1" applyBorder="1" applyAlignment="1" applyProtection="1">
      <alignment horizontal="center" vertical="center" wrapText="1" readingOrder="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readingOrder="1"/>
    </xf>
    <xf numFmtId="0" fontId="3" fillId="0" borderId="4" xfId="0" applyFont="1" applyBorder="1" applyAlignment="1" applyProtection="1">
      <alignment horizontal="center" vertical="center" wrapText="1" readingOrder="1"/>
    </xf>
    <xf numFmtId="0" fontId="3" fillId="0" borderId="6" xfId="0" applyFont="1" applyBorder="1" applyAlignment="1" applyProtection="1">
      <alignment horizontal="center" vertical="center" wrapText="1" readingOrder="1"/>
    </xf>
    <xf numFmtId="0" fontId="13" fillId="21" borderId="14" xfId="0" applyFont="1" applyFill="1" applyBorder="1" applyAlignment="1" applyProtection="1">
      <alignment vertical="top" wrapText="1" readingOrder="1"/>
      <protection locked="0"/>
    </xf>
    <xf numFmtId="0" fontId="13" fillId="21" borderId="16" xfId="0" applyFont="1" applyFill="1" applyBorder="1" applyAlignment="1" applyProtection="1">
      <alignment vertical="top" wrapText="1" readingOrder="1"/>
      <protection locked="0"/>
    </xf>
    <xf numFmtId="0" fontId="13" fillId="21" borderId="11" xfId="0" applyFont="1" applyFill="1" applyBorder="1" applyAlignment="1" applyProtection="1">
      <alignment vertical="top" wrapText="1" readingOrder="1"/>
      <protection locked="0"/>
    </xf>
    <xf numFmtId="0" fontId="13" fillId="21" borderId="13" xfId="0" applyFont="1" applyFill="1" applyBorder="1" applyAlignment="1" applyProtection="1">
      <alignment vertical="top" wrapText="1" readingOrder="1"/>
      <protection locked="0"/>
    </xf>
    <xf numFmtId="0" fontId="13" fillId="15" borderId="11" xfId="0" applyNumberFormat="1" applyFont="1" applyFill="1" applyBorder="1" applyAlignment="1" applyProtection="1">
      <alignment horizontal="center" vertical="top" wrapText="1"/>
      <protection locked="0"/>
    </xf>
    <xf numFmtId="0" fontId="13" fillId="15" borderId="12" xfId="0" applyNumberFormat="1" applyFont="1" applyFill="1" applyBorder="1" applyAlignment="1" applyProtection="1">
      <alignment horizontal="center" vertical="top" wrapText="1"/>
      <protection locked="0"/>
    </xf>
    <xf numFmtId="0" fontId="13" fillId="15" borderId="13" xfId="0" applyNumberFormat="1" applyFont="1" applyFill="1" applyBorder="1" applyAlignment="1" applyProtection="1">
      <alignment horizontal="center" vertical="top" wrapText="1"/>
      <protection locked="0"/>
    </xf>
    <xf numFmtId="0" fontId="8" fillId="0" borderId="23" xfId="0" applyFont="1" applyBorder="1" applyAlignment="1">
      <alignment horizontal="center" vertical="center"/>
    </xf>
    <xf numFmtId="0" fontId="8" fillId="0" borderId="0" xfId="0" applyFont="1" applyAlignment="1">
      <alignment horizontal="center" vertical="center"/>
    </xf>
    <xf numFmtId="0" fontId="13" fillId="21" borderId="30" xfId="0" applyFont="1" applyFill="1" applyBorder="1" applyAlignment="1" applyProtection="1">
      <alignment horizontal="left" vertical="top" wrapText="1" readingOrder="1"/>
      <protection locked="0"/>
    </xf>
    <xf numFmtId="0" fontId="13" fillId="21" borderId="31" xfId="0" applyFont="1" applyFill="1" applyBorder="1" applyAlignment="1" applyProtection="1">
      <alignment horizontal="left" vertical="top" wrapText="1" readingOrder="1"/>
      <protection locked="0"/>
    </xf>
    <xf numFmtId="0" fontId="13" fillId="21" borderId="32" xfId="0" applyFont="1" applyFill="1" applyBorder="1" applyAlignment="1" applyProtection="1">
      <alignment horizontal="left" vertical="top" wrapText="1" readingOrder="1"/>
      <protection locked="0"/>
    </xf>
    <xf numFmtId="0" fontId="13" fillId="21" borderId="33" xfId="0" applyFont="1" applyFill="1" applyBorder="1" applyAlignment="1" applyProtection="1">
      <alignment horizontal="left" vertical="top" wrapText="1" readingOrder="1"/>
      <protection locked="0"/>
    </xf>
    <xf numFmtId="0" fontId="14" fillId="0" borderId="22" xfId="0" applyFont="1" applyBorder="1" applyAlignment="1" applyProtection="1">
      <alignment horizontal="left" vertical="top" wrapText="1" readingOrder="1"/>
      <protection locked="0"/>
    </xf>
  </cellXfs>
  <cellStyles count="4">
    <cellStyle name="Įprastas" xfId="0" builtinId="0"/>
    <cellStyle name="Įprastas 2" xfId="2"/>
    <cellStyle name="Kablelis" xfId="3" builtinId="3"/>
    <cellStyle name="Procentai" xfId="1" builtinId="5"/>
  </cellStyles>
  <dxfs count="0"/>
  <tableStyles count="0" defaultTableStyle="TableStyleMedium2" defaultPivotStyle="PivotStyleLight16"/>
  <colors>
    <indexedColors>
      <rgbColor rgb="FF000000"/>
      <rgbColor rgb="FFEBEBEB"/>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0E4F6"/>
      <rgbColor rgb="FF000080"/>
      <rgbColor rgb="FFFF00FF"/>
      <rgbColor rgb="FFFFFF00"/>
      <rgbColor rgb="FF00FFFF"/>
      <rgbColor rgb="FF800080"/>
      <rgbColor rgb="FF800000"/>
      <rgbColor rgb="FF008080"/>
      <rgbColor rgb="FF0000FF"/>
      <rgbColor rgb="FF00CCFF"/>
      <rgbColor rgb="FFCCFFFF"/>
      <rgbColor rgb="FFD8FAD4"/>
      <rgbColor rgb="FFFAEE80"/>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CE4D6"/>
      <color rgb="FFE2EFDA"/>
      <color rgb="FFFFC000"/>
      <color rgb="FFDDEBF7"/>
      <color rgb="FFC1E0FF"/>
      <color rgb="FFB3D9FF"/>
      <color rgb="FFD5EAFF"/>
      <color rgb="FF99CCFF"/>
      <color rgb="FFD9E1F2"/>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tx1"/>
                </a:solidFill>
                <a:latin typeface="+mj-lt"/>
                <a:ea typeface="+mj-ea"/>
                <a:cs typeface="+mj-cs"/>
              </a:defRPr>
            </a:pPr>
            <a:r>
              <a:rPr lang="lt-LT">
                <a:solidFill>
                  <a:schemeClr val="tx1"/>
                </a:solidFill>
                <a:latin typeface="Times New Roman" panose="02020603050405020304" pitchFamily="18" charset="0"/>
                <a:cs typeface="Times New Roman" panose="02020603050405020304" pitchFamily="18" charset="0"/>
              </a:rPr>
              <a:t>0</a:t>
            </a:r>
            <a:r>
              <a:rPr lang="en-US">
                <a:solidFill>
                  <a:schemeClr val="tx1"/>
                </a:solidFill>
                <a:latin typeface="Times New Roman" panose="02020603050405020304" pitchFamily="18" charset="0"/>
                <a:cs typeface="Times New Roman" panose="02020603050405020304" pitchFamily="18" charset="0"/>
              </a:rPr>
              <a:t>1</a:t>
            </a:r>
            <a:r>
              <a:rPr lang="lt-LT">
                <a:solidFill>
                  <a:schemeClr val="tx1"/>
                </a:solidFill>
                <a:latin typeface="Times New Roman" panose="02020603050405020304" pitchFamily="18" charset="0"/>
                <a:cs typeface="Times New Roman" panose="02020603050405020304" pitchFamily="18" charset="0"/>
              </a:rPr>
              <a:t> programos vykdymas</a:t>
            </a:r>
            <a:endParaRPr lang="en-US">
              <a:solidFill>
                <a:schemeClr val="tx1"/>
              </a:solidFill>
              <a:latin typeface="Times New Roman" panose="02020603050405020304" pitchFamily="18" charset="0"/>
              <a:cs typeface="Times New Roman" panose="02020603050405020304" pitchFamily="18" charset="0"/>
            </a:endParaRP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3"/>
          <c:dPt>
            <c:idx val="0"/>
            <c:bubble3D val="0"/>
            <c:spPr>
              <a:solidFill>
                <a:srgbClr val="E2EFDA"/>
              </a:solidFill>
              <a:ln w="15875">
                <a:solidFill>
                  <a:schemeClr val="accent6">
                    <a:lumMod val="40000"/>
                    <a:lumOff val="60000"/>
                  </a:schemeClr>
                </a:solidFill>
              </a:ln>
              <a:effectLst/>
              <a:sp3d contourW="15875">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4-0483-43EE-9D2E-C83A38B9674F}"/>
              </c:ext>
            </c:extLst>
          </c:dPt>
          <c:dPt>
            <c:idx val="1"/>
            <c:bubble3D val="0"/>
            <c:spPr>
              <a:solidFill>
                <a:srgbClr val="FFF2CC"/>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5-0483-43EE-9D2E-C83A38B9674F}"/>
              </c:ext>
            </c:extLst>
          </c:dPt>
          <c:dPt>
            <c:idx val="2"/>
            <c:bubble3D val="0"/>
            <c:explosion val="8"/>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2-0483-43EE-9D2E-C83A38B9674F}"/>
              </c:ext>
            </c:extLst>
          </c:dPt>
          <c:dPt>
            <c:idx val="3"/>
            <c:bubble3D val="0"/>
            <c:spPr>
              <a:solidFill>
                <a:srgbClr val="D9E1F2"/>
              </a:solidFill>
              <a:ln w="15875">
                <a:solidFill>
                  <a:schemeClr val="accent5">
                    <a:lumMod val="40000"/>
                    <a:lumOff val="60000"/>
                  </a:schemeClr>
                </a:solidFill>
              </a:ln>
              <a:effectLst/>
              <a:sp3d contourW="15875">
                <a:contourClr>
                  <a:schemeClr val="accent5">
                    <a:lumMod val="40000"/>
                    <a:lumOff val="60000"/>
                  </a:schemeClr>
                </a:contourClr>
              </a:sp3d>
            </c:spPr>
            <c:extLst xmlns:c16r2="http://schemas.microsoft.com/office/drawing/2015/06/chart">
              <c:ext xmlns:c16="http://schemas.microsoft.com/office/drawing/2014/chart" uri="{C3380CC4-5D6E-409C-BE32-E72D297353CC}">
                <c16:uniqueId val="{00000006-0483-43EE-9D2E-C83A38B9674F}"/>
              </c:ext>
            </c:extLst>
          </c:dPt>
          <c:dPt>
            <c:idx val="4"/>
            <c:bubble3D val="0"/>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3-0483-43EE-9D2E-C83A38B9674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Planas!$T$15:$T$20</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Planas!$U$15:$U$20</c:f>
              <c:numCache>
                <c:formatCode>General</c:formatCode>
                <c:ptCount val="5"/>
                <c:pt idx="0">
                  <c:v>2</c:v>
                </c:pt>
                <c:pt idx="1">
                  <c:v>1</c:v>
                </c:pt>
                <c:pt idx="2">
                  <c:v>4</c:v>
                </c:pt>
                <c:pt idx="4">
                  <c:v>3</c:v>
                </c:pt>
              </c:numCache>
            </c:numRef>
          </c:val>
          <c:extLst xmlns:c16r2="http://schemas.microsoft.com/office/drawing/2015/06/chart">
            <c:ext xmlns:c16="http://schemas.microsoft.com/office/drawing/2014/chart" uri="{C3380CC4-5D6E-409C-BE32-E72D297353CC}">
              <c16:uniqueId val="{00000000-0483-43EE-9D2E-C83A38B9674F}"/>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layout>
        <c:manualLayout>
          <c:xMode val="edge"/>
          <c:yMode val="edge"/>
          <c:x val="0.65199929275206403"/>
          <c:y val="0.25560568395067013"/>
          <c:w val="0.33446187402123306"/>
          <c:h val="0.57081045236050398"/>
        </c:manualLayout>
      </c:layout>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12700" cap="flat" cmpd="sng" algn="ctr">
      <a:solidFill>
        <a:schemeClr val="tx1">
          <a:lumMod val="50000"/>
          <a:lumOff val="50000"/>
        </a:schemeClr>
      </a:solidFill>
      <a:round/>
    </a:ln>
    <a:effectLst/>
  </c:spPr>
  <c:txPr>
    <a:bodyPr/>
    <a:lstStyle/>
    <a:p>
      <a:pPr>
        <a:defRPr/>
      </a:pPr>
      <a:endParaRPr lang="lt-L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a:solidFill>
                  <a:schemeClr val="tx1"/>
                </a:solidFill>
                <a:latin typeface="Times New Roman" panose="02020603050405020304" pitchFamily="18" charset="0"/>
                <a:cs typeface="Times New Roman" panose="02020603050405020304" pitchFamily="18" charset="0"/>
              </a:rPr>
              <a:t>10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7"/>
            <c:spPr>
              <a:solidFill>
                <a:srgbClr val="E2EFDA"/>
              </a:solidFill>
              <a:ln w="15875">
                <a:solidFill>
                  <a:schemeClr val="accent6">
                    <a:lumMod val="60000"/>
                    <a:lumOff val="40000"/>
                  </a:schemeClr>
                </a:solidFill>
              </a:ln>
              <a:effectLst/>
              <a:sp3d contourW="15875">
                <a:contourClr>
                  <a:schemeClr val="accent6">
                    <a:lumMod val="60000"/>
                    <a:lumOff val="40000"/>
                  </a:schemeClr>
                </a:contourClr>
              </a:sp3d>
            </c:spPr>
            <c:extLst xmlns:c16r2="http://schemas.microsoft.com/office/drawing/2015/06/chart">
              <c:ext xmlns:c16="http://schemas.microsoft.com/office/drawing/2014/chart" uri="{C3380CC4-5D6E-409C-BE32-E72D297353CC}">
                <c16:uniqueId val="{00000002-F02B-4297-990F-E458AD87BB52}"/>
              </c:ext>
            </c:extLst>
          </c:dPt>
          <c:dPt>
            <c:idx val="1"/>
            <c:bubble3D val="0"/>
            <c:spPr>
              <a:solidFill>
                <a:srgbClr val="FFF2CC"/>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6-F02B-4297-990F-E458AD87BB52}"/>
              </c:ext>
            </c:extLst>
          </c:dPt>
          <c:dPt>
            <c:idx val="2"/>
            <c:bubble3D val="0"/>
            <c:explosion val="11"/>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3-F02B-4297-990F-E458AD87BB52}"/>
              </c:ext>
            </c:extLst>
          </c:dPt>
          <c:dPt>
            <c:idx val="3"/>
            <c:bubble3D val="0"/>
            <c:explosion val="7"/>
            <c:spPr>
              <a:solidFill>
                <a:srgbClr val="D9E1F2"/>
              </a:solidFill>
              <a:ln w="15875">
                <a:solidFill>
                  <a:schemeClr val="accent5">
                    <a:lumMod val="60000"/>
                    <a:lumOff val="40000"/>
                  </a:schemeClr>
                </a:solidFill>
              </a:ln>
              <a:effectLst/>
              <a:sp3d contourW="15875">
                <a:contourClr>
                  <a:schemeClr val="accent5">
                    <a:lumMod val="60000"/>
                    <a:lumOff val="40000"/>
                  </a:schemeClr>
                </a:contourClr>
              </a:sp3d>
            </c:spPr>
            <c:extLst xmlns:c16r2="http://schemas.microsoft.com/office/drawing/2015/06/chart">
              <c:ext xmlns:c16="http://schemas.microsoft.com/office/drawing/2014/chart" uri="{C3380CC4-5D6E-409C-BE32-E72D297353CC}">
                <c16:uniqueId val="{00000004-F02B-4297-990F-E458AD87BB52}"/>
              </c:ext>
            </c:extLst>
          </c:dPt>
          <c:dPt>
            <c:idx val="4"/>
            <c:bubble3D val="0"/>
            <c:explosion val="8"/>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5-F02B-4297-990F-E458AD87BB5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Planas!$T$606:$T$610</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Planas!$U$606:$U$610</c:f>
              <c:numCache>
                <c:formatCode>General</c:formatCode>
                <c:ptCount val="5"/>
                <c:pt idx="0">
                  <c:v>15</c:v>
                </c:pt>
                <c:pt idx="2">
                  <c:v>10</c:v>
                </c:pt>
                <c:pt idx="3">
                  <c:v>12</c:v>
                </c:pt>
                <c:pt idx="4">
                  <c:v>4</c:v>
                </c:pt>
              </c:numCache>
            </c:numRef>
          </c:val>
          <c:extLst xmlns:c16r2="http://schemas.microsoft.com/office/drawing/2015/06/chart">
            <c:ext xmlns:c16="http://schemas.microsoft.com/office/drawing/2014/chart" uri="{C3380CC4-5D6E-409C-BE32-E72D297353CC}">
              <c16:uniqueId val="{00000000-F02B-4297-990F-E458AD87BB52}"/>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12700" cap="flat" cmpd="sng" algn="ctr">
      <a:solidFill>
        <a:schemeClr val="tx1">
          <a:lumMod val="50000"/>
          <a:lumOff val="50000"/>
        </a:schemeClr>
      </a:solidFill>
      <a:round/>
    </a:ln>
    <a:effectLst/>
  </c:spPr>
  <c:txPr>
    <a:bodyPr/>
    <a:lstStyle/>
    <a:p>
      <a:pPr>
        <a:defRPr/>
      </a:pPr>
      <a:endParaRPr lang="lt-L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a:solidFill>
                  <a:schemeClr val="tx1"/>
                </a:solidFill>
                <a:latin typeface="Times New Roman" panose="02020603050405020304" pitchFamily="18" charset="0"/>
                <a:cs typeface="Times New Roman" panose="02020603050405020304" pitchFamily="18" charset="0"/>
              </a:rPr>
              <a:t>11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10"/>
            <c:spPr>
              <a:solidFill>
                <a:srgbClr val="E2EFDA"/>
              </a:solidFill>
              <a:ln w="15875">
                <a:solidFill>
                  <a:schemeClr val="accent6">
                    <a:lumMod val="60000"/>
                    <a:lumOff val="40000"/>
                  </a:schemeClr>
                </a:solidFill>
              </a:ln>
              <a:effectLst/>
              <a:sp3d contourW="15875">
                <a:contourClr>
                  <a:schemeClr val="accent6">
                    <a:lumMod val="60000"/>
                    <a:lumOff val="40000"/>
                  </a:schemeClr>
                </a:contourClr>
              </a:sp3d>
            </c:spPr>
            <c:extLst xmlns:c16r2="http://schemas.microsoft.com/office/drawing/2015/06/chart">
              <c:ext xmlns:c16="http://schemas.microsoft.com/office/drawing/2014/chart" uri="{C3380CC4-5D6E-409C-BE32-E72D297353CC}">
                <c16:uniqueId val="{00000002-B6C3-49A4-8C50-E26152CDD2D3}"/>
              </c:ext>
            </c:extLst>
          </c:dPt>
          <c:dPt>
            <c:idx val="1"/>
            <c:bubble3D val="0"/>
            <c:spPr>
              <a:solidFill>
                <a:srgbClr val="FFF2CC"/>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5-B6C3-49A4-8C50-E26152CDD2D3}"/>
              </c:ext>
            </c:extLst>
          </c:dPt>
          <c:dPt>
            <c:idx val="2"/>
            <c:bubble3D val="0"/>
            <c:explosion val="7"/>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3-B6C3-49A4-8C50-E26152CDD2D3}"/>
              </c:ext>
            </c:extLst>
          </c:dPt>
          <c:dPt>
            <c:idx val="3"/>
            <c:bubble3D val="0"/>
            <c:explosion val="5"/>
            <c:spPr>
              <a:solidFill>
                <a:srgbClr val="D9E1F2"/>
              </a:solidFill>
              <a:ln w="15875">
                <a:solidFill>
                  <a:schemeClr val="accent5">
                    <a:lumMod val="60000"/>
                    <a:lumOff val="40000"/>
                  </a:schemeClr>
                </a:solidFill>
              </a:ln>
              <a:effectLst/>
              <a:sp3d contourW="15875">
                <a:contourClr>
                  <a:schemeClr val="accent5">
                    <a:lumMod val="60000"/>
                    <a:lumOff val="40000"/>
                  </a:schemeClr>
                </a:contourClr>
              </a:sp3d>
            </c:spPr>
            <c:extLst xmlns:c16r2="http://schemas.microsoft.com/office/drawing/2015/06/chart">
              <c:ext xmlns:c16="http://schemas.microsoft.com/office/drawing/2014/chart" uri="{C3380CC4-5D6E-409C-BE32-E72D297353CC}">
                <c16:uniqueId val="{00000004-B6C3-49A4-8C50-E26152CDD2D3}"/>
              </c:ext>
            </c:extLst>
          </c:dPt>
          <c:dPt>
            <c:idx val="4"/>
            <c:bubble3D val="0"/>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6-B6C3-49A4-8C50-E26152CDD2D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Planas!$T$744:$T$748</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Planas!$U$744:$U$748</c:f>
              <c:numCache>
                <c:formatCode>General</c:formatCode>
                <c:ptCount val="5"/>
                <c:pt idx="0">
                  <c:v>30</c:v>
                </c:pt>
                <c:pt idx="1">
                  <c:v>1</c:v>
                </c:pt>
                <c:pt idx="2">
                  <c:v>6</c:v>
                </c:pt>
                <c:pt idx="3">
                  <c:v>1</c:v>
                </c:pt>
              </c:numCache>
            </c:numRef>
          </c:val>
          <c:extLst xmlns:c16r2="http://schemas.microsoft.com/office/drawing/2015/06/chart">
            <c:ext xmlns:c16="http://schemas.microsoft.com/office/drawing/2014/chart" uri="{C3380CC4-5D6E-409C-BE32-E72D297353CC}">
              <c16:uniqueId val="{00000000-B6C3-49A4-8C50-E26152CDD2D3}"/>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12700" cap="flat" cmpd="sng" algn="ctr">
      <a:solidFill>
        <a:schemeClr val="tx1">
          <a:lumMod val="50000"/>
          <a:lumOff val="50000"/>
        </a:schemeClr>
      </a:solidFill>
      <a:round/>
    </a:ln>
    <a:effectLst/>
  </c:spPr>
  <c:txPr>
    <a:bodyPr/>
    <a:lstStyle/>
    <a:p>
      <a:pPr>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600">
                <a:solidFill>
                  <a:schemeClr val="tx1"/>
                </a:solidFill>
                <a:latin typeface="Times New Roman" panose="02020603050405020304" pitchFamily="18" charset="0"/>
                <a:cs typeface="Times New Roman" panose="02020603050405020304" pitchFamily="18" charset="0"/>
              </a:rPr>
              <a:t>02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7"/>
          <c:dPt>
            <c:idx val="0"/>
            <c:bubble3D val="0"/>
            <c:spPr>
              <a:solidFill>
                <a:srgbClr val="E2EFDA"/>
              </a:solidFill>
              <a:ln w="15875">
                <a:solidFill>
                  <a:schemeClr val="accent6">
                    <a:lumMod val="60000"/>
                    <a:lumOff val="40000"/>
                  </a:schemeClr>
                </a:solidFill>
              </a:ln>
              <a:effectLst/>
              <a:sp3d contourW="15875">
                <a:contourClr>
                  <a:schemeClr val="accent6">
                    <a:lumMod val="60000"/>
                    <a:lumOff val="40000"/>
                  </a:schemeClr>
                </a:contourClr>
              </a:sp3d>
            </c:spPr>
            <c:extLst xmlns:c16r2="http://schemas.microsoft.com/office/drawing/2015/06/chart">
              <c:ext xmlns:c16="http://schemas.microsoft.com/office/drawing/2014/chart" uri="{C3380CC4-5D6E-409C-BE32-E72D297353CC}">
                <c16:uniqueId val="{00000002-8967-48BB-A945-E96C28E2D1E2}"/>
              </c:ext>
            </c:extLst>
          </c:dPt>
          <c:dPt>
            <c:idx val="1"/>
            <c:bubble3D val="0"/>
            <c:spPr>
              <a:solidFill>
                <a:schemeClr val="accent4">
                  <a:lumMod val="40000"/>
                  <a:lumOff val="60000"/>
                </a:schemeClr>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3-8967-48BB-A945-E96C28E2D1E2}"/>
              </c:ext>
            </c:extLst>
          </c:dPt>
          <c:dPt>
            <c:idx val="2"/>
            <c:bubble3D val="0"/>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4-8967-48BB-A945-E96C28E2D1E2}"/>
              </c:ext>
            </c:extLst>
          </c:dPt>
          <c:dPt>
            <c:idx val="3"/>
            <c:bubble3D val="0"/>
            <c:spPr>
              <a:solidFill>
                <a:srgbClr val="D9E1F2"/>
              </a:solidFill>
              <a:ln w="15875">
                <a:solidFill>
                  <a:schemeClr val="accent5">
                    <a:lumMod val="60000"/>
                    <a:lumOff val="40000"/>
                  </a:schemeClr>
                </a:solidFill>
              </a:ln>
              <a:effectLst/>
              <a:sp3d contourW="15875">
                <a:contourClr>
                  <a:schemeClr val="accent5">
                    <a:lumMod val="60000"/>
                    <a:lumOff val="40000"/>
                  </a:schemeClr>
                </a:contourClr>
              </a:sp3d>
            </c:spPr>
            <c:extLst xmlns:c16r2="http://schemas.microsoft.com/office/drawing/2015/06/chart">
              <c:ext xmlns:c16="http://schemas.microsoft.com/office/drawing/2014/chart" uri="{C3380CC4-5D6E-409C-BE32-E72D297353CC}">
                <c16:uniqueId val="{00000006-8967-48BB-A945-E96C28E2D1E2}"/>
              </c:ext>
            </c:extLst>
          </c:dPt>
          <c:dPt>
            <c:idx val="4"/>
            <c:bubble3D val="0"/>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5-8967-48BB-A945-E96C28E2D1E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Planas!$T$56:$T$60</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Planas!$U$56:$U$60</c:f>
              <c:numCache>
                <c:formatCode>General</c:formatCode>
                <c:ptCount val="5"/>
                <c:pt idx="0">
                  <c:v>7</c:v>
                </c:pt>
                <c:pt idx="1">
                  <c:v>1</c:v>
                </c:pt>
                <c:pt idx="2">
                  <c:v>2</c:v>
                </c:pt>
                <c:pt idx="3">
                  <c:v>3</c:v>
                </c:pt>
                <c:pt idx="4">
                  <c:v>1</c:v>
                </c:pt>
              </c:numCache>
            </c:numRef>
          </c:val>
          <c:extLst xmlns:c16r2="http://schemas.microsoft.com/office/drawing/2015/06/chart">
            <c:ext xmlns:c16="http://schemas.microsoft.com/office/drawing/2014/chart" uri="{C3380CC4-5D6E-409C-BE32-E72D297353CC}">
              <c16:uniqueId val="{00000000-8967-48BB-A945-E96C28E2D1E2}"/>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layout>
        <c:manualLayout>
          <c:xMode val="edge"/>
          <c:yMode val="edge"/>
          <c:x val="0.6492280746186907"/>
          <c:y val="0.26062264494165954"/>
          <c:w val="0.33914612954065904"/>
          <c:h val="0.60548712351550116"/>
        </c:manualLayout>
      </c:layout>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12700" cap="flat" cmpd="sng" algn="ctr">
      <a:solidFill>
        <a:schemeClr val="tx1">
          <a:lumMod val="50000"/>
          <a:lumOff val="50000"/>
        </a:schemeClr>
      </a:solidFill>
      <a:round/>
    </a:ln>
    <a:effectLst/>
  </c:spPr>
  <c:txPr>
    <a:bodyPr/>
    <a:lstStyle/>
    <a:p>
      <a:pPr>
        <a:defRPr/>
      </a:pPr>
      <a:endParaRPr lang="lt-L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tx1"/>
                </a:solidFill>
                <a:latin typeface="+mj-lt"/>
                <a:ea typeface="+mj-ea"/>
                <a:cs typeface="+mj-cs"/>
              </a:defRPr>
            </a:pPr>
            <a:r>
              <a:rPr lang="lt-LT">
                <a:solidFill>
                  <a:schemeClr val="tx1"/>
                </a:solidFill>
                <a:latin typeface="Times New Roman" panose="02020603050405020304" pitchFamily="18" charset="0"/>
                <a:cs typeface="Times New Roman" panose="02020603050405020304" pitchFamily="18" charset="0"/>
              </a:rPr>
              <a:t>03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rgbClr val="E2EFDA"/>
              </a:solidFill>
              <a:ln w="15875">
                <a:solidFill>
                  <a:schemeClr val="accent6">
                    <a:lumMod val="60000"/>
                    <a:lumOff val="40000"/>
                  </a:schemeClr>
                </a:solidFill>
              </a:ln>
              <a:effectLst/>
              <a:sp3d contourW="15875">
                <a:contourClr>
                  <a:schemeClr val="accent6">
                    <a:lumMod val="60000"/>
                    <a:lumOff val="40000"/>
                  </a:schemeClr>
                </a:contourClr>
              </a:sp3d>
            </c:spPr>
            <c:extLst xmlns:c16r2="http://schemas.microsoft.com/office/drawing/2015/06/chart">
              <c:ext xmlns:c16="http://schemas.microsoft.com/office/drawing/2014/chart" uri="{C3380CC4-5D6E-409C-BE32-E72D297353CC}">
                <c16:uniqueId val="{00000002-FD62-420C-87D0-BE413291FD32}"/>
              </c:ext>
            </c:extLst>
          </c:dPt>
          <c:dPt>
            <c:idx val="1"/>
            <c:bubble3D val="0"/>
            <c:explosion val="3"/>
            <c:spPr>
              <a:solidFill>
                <a:srgbClr val="FFF2CC"/>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3-FD62-420C-87D0-BE413291FD32}"/>
              </c:ext>
            </c:extLst>
          </c:dPt>
          <c:dPt>
            <c:idx val="2"/>
            <c:bubble3D val="0"/>
            <c:explosion val="7"/>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4-FD62-420C-87D0-BE413291FD32}"/>
              </c:ext>
            </c:extLst>
          </c:dPt>
          <c:dPt>
            <c:idx val="3"/>
            <c:bubble3D val="0"/>
            <c:explosion val="5"/>
            <c:spPr>
              <a:solidFill>
                <a:srgbClr val="D9E1F2"/>
              </a:solidFill>
              <a:ln w="15875">
                <a:solidFill>
                  <a:schemeClr val="accent5">
                    <a:lumMod val="60000"/>
                    <a:lumOff val="40000"/>
                  </a:schemeClr>
                </a:solidFill>
              </a:ln>
              <a:effectLst/>
              <a:sp3d contourW="15875">
                <a:contourClr>
                  <a:schemeClr val="accent5">
                    <a:lumMod val="60000"/>
                    <a:lumOff val="40000"/>
                  </a:schemeClr>
                </a:contourClr>
              </a:sp3d>
            </c:spPr>
            <c:extLst xmlns:c16r2="http://schemas.microsoft.com/office/drawing/2015/06/chart">
              <c:ext xmlns:c16="http://schemas.microsoft.com/office/drawing/2014/chart" uri="{C3380CC4-5D6E-409C-BE32-E72D297353CC}">
                <c16:uniqueId val="{00000005-FD62-420C-87D0-BE413291FD32}"/>
              </c:ext>
            </c:extLst>
          </c:dPt>
          <c:dPt>
            <c:idx val="4"/>
            <c:bubble3D val="0"/>
            <c:explosion val="8"/>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6-FD62-420C-87D0-BE413291FD3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Planas!$T$115:$T$119</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Planas!$U$115:$U$119</c:f>
              <c:numCache>
                <c:formatCode>General</c:formatCode>
                <c:ptCount val="5"/>
                <c:pt idx="0">
                  <c:v>8</c:v>
                </c:pt>
                <c:pt idx="1">
                  <c:v>1</c:v>
                </c:pt>
                <c:pt idx="2">
                  <c:v>5</c:v>
                </c:pt>
                <c:pt idx="3">
                  <c:v>5</c:v>
                </c:pt>
                <c:pt idx="4">
                  <c:v>4</c:v>
                </c:pt>
              </c:numCache>
            </c:numRef>
          </c:val>
          <c:extLst xmlns:c16r2="http://schemas.microsoft.com/office/drawing/2015/06/chart">
            <c:ext xmlns:c16="http://schemas.microsoft.com/office/drawing/2014/chart" uri="{C3380CC4-5D6E-409C-BE32-E72D297353CC}">
              <c16:uniqueId val="{00000000-FD62-420C-87D0-BE413291FD32}"/>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12700" cap="flat" cmpd="sng" algn="ctr">
      <a:solidFill>
        <a:schemeClr val="tx1">
          <a:lumMod val="50000"/>
          <a:lumOff val="50000"/>
        </a:schemeClr>
      </a:solidFill>
      <a:round/>
    </a:ln>
    <a:effectLst/>
  </c:spPr>
  <c:txPr>
    <a:bodyPr/>
    <a:lstStyle/>
    <a:p>
      <a:pPr>
        <a:defRPr/>
      </a:pPr>
      <a:endParaRPr lang="lt-L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a:solidFill>
                  <a:sysClr val="windowText" lastClr="000000"/>
                </a:solidFill>
                <a:latin typeface="Times New Roman" panose="02020603050405020304" pitchFamily="18" charset="0"/>
                <a:cs typeface="Times New Roman" panose="02020603050405020304" pitchFamily="18" charset="0"/>
              </a:rPr>
              <a:t>04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rgbClr val="E2EFDA"/>
              </a:solidFill>
              <a:ln w="15875">
                <a:solidFill>
                  <a:schemeClr val="accent6">
                    <a:lumMod val="60000"/>
                    <a:lumOff val="40000"/>
                  </a:schemeClr>
                </a:solidFill>
              </a:ln>
              <a:effectLst/>
              <a:sp3d contourW="15875">
                <a:contourClr>
                  <a:schemeClr val="accent6">
                    <a:lumMod val="60000"/>
                    <a:lumOff val="40000"/>
                  </a:schemeClr>
                </a:contourClr>
              </a:sp3d>
            </c:spPr>
            <c:extLst xmlns:c16r2="http://schemas.microsoft.com/office/drawing/2015/06/chart">
              <c:ext xmlns:c16="http://schemas.microsoft.com/office/drawing/2014/chart" uri="{C3380CC4-5D6E-409C-BE32-E72D297353CC}">
                <c16:uniqueId val="{00000002-A8EF-45ED-B9B6-96AE0857EFB0}"/>
              </c:ext>
            </c:extLst>
          </c:dPt>
          <c:dPt>
            <c:idx val="1"/>
            <c:bubble3D val="0"/>
            <c:explosion val="7"/>
            <c:spPr>
              <a:solidFill>
                <a:srgbClr val="FFF2CC"/>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3-A8EF-45ED-B9B6-96AE0857EFB0}"/>
              </c:ext>
            </c:extLst>
          </c:dPt>
          <c:dPt>
            <c:idx val="2"/>
            <c:bubble3D val="0"/>
            <c:explosion val="5"/>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4-A8EF-45ED-B9B6-96AE0857EFB0}"/>
              </c:ext>
            </c:extLst>
          </c:dPt>
          <c:dPt>
            <c:idx val="3"/>
            <c:bubble3D val="0"/>
            <c:explosion val="5"/>
            <c:spPr>
              <a:solidFill>
                <a:srgbClr val="D9E1F2"/>
              </a:solidFill>
              <a:ln w="15875">
                <a:solidFill>
                  <a:schemeClr val="accent1">
                    <a:lumMod val="60000"/>
                    <a:lumOff val="40000"/>
                  </a:schemeClr>
                </a:solidFill>
              </a:ln>
              <a:effectLst/>
              <a:sp3d contourW="15875">
                <a:contourClr>
                  <a:schemeClr val="accent1">
                    <a:lumMod val="60000"/>
                    <a:lumOff val="40000"/>
                  </a:schemeClr>
                </a:contourClr>
              </a:sp3d>
            </c:spPr>
            <c:extLst xmlns:c16r2="http://schemas.microsoft.com/office/drawing/2015/06/chart">
              <c:ext xmlns:c16="http://schemas.microsoft.com/office/drawing/2014/chart" uri="{C3380CC4-5D6E-409C-BE32-E72D297353CC}">
                <c16:uniqueId val="{00000006-A8EF-45ED-B9B6-96AE0857EFB0}"/>
              </c:ext>
            </c:extLst>
          </c:dPt>
          <c:dPt>
            <c:idx val="4"/>
            <c:bubble3D val="0"/>
            <c:explosion val="6"/>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5-A8EF-45ED-B9B6-96AE0857EFB0}"/>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Planas!$T$187:$T$191</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Planas!$U$187:$U$191</c:f>
              <c:numCache>
                <c:formatCode>General</c:formatCode>
                <c:ptCount val="5"/>
                <c:pt idx="0">
                  <c:v>11</c:v>
                </c:pt>
                <c:pt idx="1">
                  <c:v>1</c:v>
                </c:pt>
                <c:pt idx="2">
                  <c:v>8</c:v>
                </c:pt>
                <c:pt idx="3">
                  <c:v>5</c:v>
                </c:pt>
                <c:pt idx="4">
                  <c:v>1</c:v>
                </c:pt>
              </c:numCache>
            </c:numRef>
          </c:val>
          <c:extLst xmlns:c16r2="http://schemas.microsoft.com/office/drawing/2015/06/chart">
            <c:ext xmlns:c16="http://schemas.microsoft.com/office/drawing/2014/chart" uri="{C3380CC4-5D6E-409C-BE32-E72D297353CC}">
              <c16:uniqueId val="{00000000-A8EF-45ED-B9B6-96AE0857EFB0}"/>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12700" cap="flat" cmpd="sng" algn="ctr">
      <a:solidFill>
        <a:schemeClr val="tx1">
          <a:lumMod val="50000"/>
          <a:lumOff val="50000"/>
        </a:schemeClr>
      </a:solidFill>
      <a:round/>
    </a:ln>
    <a:effectLst/>
  </c:spPr>
  <c:txPr>
    <a:bodyPr/>
    <a:lstStyle/>
    <a:p>
      <a:pPr>
        <a:defRPr/>
      </a:pPr>
      <a:endParaRPr lang="lt-L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a:solidFill>
                  <a:sysClr val="windowText" lastClr="000000"/>
                </a:solidFill>
                <a:latin typeface="Times New Roman" panose="02020603050405020304" pitchFamily="18" charset="0"/>
                <a:cs typeface="Times New Roman" panose="02020603050405020304" pitchFamily="18" charset="0"/>
              </a:rPr>
              <a:t>05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5"/>
            <c:spPr>
              <a:solidFill>
                <a:srgbClr val="E2EFDA"/>
              </a:solidFill>
              <a:ln w="15875">
                <a:solidFill>
                  <a:schemeClr val="accent6">
                    <a:lumMod val="60000"/>
                    <a:lumOff val="40000"/>
                  </a:schemeClr>
                </a:solidFill>
              </a:ln>
              <a:effectLst/>
              <a:sp3d contourW="15875">
                <a:contourClr>
                  <a:schemeClr val="accent6">
                    <a:lumMod val="60000"/>
                    <a:lumOff val="40000"/>
                  </a:schemeClr>
                </a:contourClr>
              </a:sp3d>
            </c:spPr>
            <c:extLst xmlns:c16r2="http://schemas.microsoft.com/office/drawing/2015/06/chart">
              <c:ext xmlns:c16="http://schemas.microsoft.com/office/drawing/2014/chart" uri="{C3380CC4-5D6E-409C-BE32-E72D297353CC}">
                <c16:uniqueId val="{00000002-2E91-4857-8687-2621812B716E}"/>
              </c:ext>
            </c:extLst>
          </c:dPt>
          <c:dPt>
            <c:idx val="1"/>
            <c:bubble3D val="0"/>
            <c:explosion val="5"/>
            <c:spPr>
              <a:solidFill>
                <a:srgbClr val="FFF2CC"/>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3-2E91-4857-8687-2621812B716E}"/>
              </c:ext>
            </c:extLst>
          </c:dPt>
          <c:dPt>
            <c:idx val="2"/>
            <c:bubble3D val="0"/>
            <c:explosion val="6"/>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4-2E91-4857-8687-2621812B716E}"/>
              </c:ext>
            </c:extLst>
          </c:dPt>
          <c:dPt>
            <c:idx val="3"/>
            <c:bubble3D val="0"/>
            <c:explosion val="6"/>
            <c:spPr>
              <a:solidFill>
                <a:srgbClr val="D9E1F2"/>
              </a:solidFill>
              <a:ln w="15875">
                <a:solidFill>
                  <a:schemeClr val="accent1">
                    <a:lumMod val="60000"/>
                    <a:lumOff val="40000"/>
                  </a:schemeClr>
                </a:solidFill>
              </a:ln>
              <a:effectLst/>
              <a:sp3d contourW="15875">
                <a:contourClr>
                  <a:schemeClr val="accent1">
                    <a:lumMod val="60000"/>
                    <a:lumOff val="40000"/>
                  </a:schemeClr>
                </a:contourClr>
              </a:sp3d>
            </c:spPr>
            <c:extLst xmlns:c16r2="http://schemas.microsoft.com/office/drawing/2015/06/chart">
              <c:ext xmlns:c16="http://schemas.microsoft.com/office/drawing/2014/chart" uri="{C3380CC4-5D6E-409C-BE32-E72D297353CC}">
                <c16:uniqueId val="{00000005-2E91-4857-8687-2621812B716E}"/>
              </c:ext>
            </c:extLst>
          </c:dPt>
          <c:dPt>
            <c:idx val="4"/>
            <c:bubble3D val="0"/>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9-32D4-4770-A5CB-FFA98CCFC17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Planas!$T$300:$T$304</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Planas!$U$300:$U$304</c:f>
              <c:numCache>
                <c:formatCode>General</c:formatCode>
                <c:ptCount val="5"/>
                <c:pt idx="0">
                  <c:v>5</c:v>
                </c:pt>
                <c:pt idx="1">
                  <c:v>1</c:v>
                </c:pt>
                <c:pt idx="2">
                  <c:v>2</c:v>
                </c:pt>
                <c:pt idx="3">
                  <c:v>1</c:v>
                </c:pt>
              </c:numCache>
            </c:numRef>
          </c:val>
          <c:extLst xmlns:c16r2="http://schemas.microsoft.com/office/drawing/2015/06/chart">
            <c:ext xmlns:c16="http://schemas.microsoft.com/office/drawing/2014/chart" uri="{C3380CC4-5D6E-409C-BE32-E72D297353CC}">
              <c16:uniqueId val="{00000000-2E91-4857-8687-2621812B716E}"/>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600">
                <a:solidFill>
                  <a:schemeClr val="tx1"/>
                </a:solidFill>
                <a:latin typeface="Times New Roman" panose="02020603050405020304" pitchFamily="18" charset="0"/>
                <a:cs typeface="Times New Roman" panose="02020603050405020304" pitchFamily="18" charset="0"/>
              </a:rPr>
              <a:t>06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3"/>
            <c:spPr>
              <a:solidFill>
                <a:srgbClr val="E2EFDA"/>
              </a:solidFill>
              <a:ln w="15875">
                <a:solidFill>
                  <a:schemeClr val="accent6">
                    <a:lumMod val="60000"/>
                    <a:lumOff val="40000"/>
                  </a:schemeClr>
                </a:solidFill>
              </a:ln>
              <a:effectLst/>
              <a:sp3d contourW="15875">
                <a:contourClr>
                  <a:schemeClr val="accent6">
                    <a:lumMod val="60000"/>
                    <a:lumOff val="40000"/>
                  </a:schemeClr>
                </a:contourClr>
              </a:sp3d>
            </c:spPr>
            <c:extLst xmlns:c16r2="http://schemas.microsoft.com/office/drawing/2015/06/chart">
              <c:ext xmlns:c16="http://schemas.microsoft.com/office/drawing/2014/chart" uri="{C3380CC4-5D6E-409C-BE32-E72D297353CC}">
                <c16:uniqueId val="{00000002-23E6-42AD-BE84-934C48A496E7}"/>
              </c:ext>
            </c:extLst>
          </c:dPt>
          <c:dPt>
            <c:idx val="1"/>
            <c:bubble3D val="0"/>
            <c:explosion val="5"/>
            <c:spPr>
              <a:solidFill>
                <a:srgbClr val="FFF2CC"/>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5-23E6-42AD-BE84-934C48A496E7}"/>
              </c:ext>
            </c:extLst>
          </c:dPt>
          <c:dPt>
            <c:idx val="2"/>
            <c:bubble3D val="0"/>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5-0819-44C6-BFD1-FCA60CB92AB4}"/>
              </c:ext>
            </c:extLst>
          </c:dPt>
          <c:dPt>
            <c:idx val="3"/>
            <c:bubble3D val="0"/>
            <c:explosion val="4"/>
            <c:spPr>
              <a:solidFill>
                <a:srgbClr val="D9E1F2"/>
              </a:solidFill>
              <a:ln w="15875">
                <a:solidFill>
                  <a:schemeClr val="accent5">
                    <a:lumMod val="60000"/>
                    <a:lumOff val="40000"/>
                  </a:schemeClr>
                </a:solidFill>
              </a:ln>
              <a:effectLst/>
              <a:sp3d contourW="15875">
                <a:contourClr>
                  <a:schemeClr val="accent5">
                    <a:lumMod val="60000"/>
                    <a:lumOff val="40000"/>
                  </a:schemeClr>
                </a:contourClr>
              </a:sp3d>
            </c:spPr>
            <c:extLst xmlns:c16r2="http://schemas.microsoft.com/office/drawing/2015/06/chart">
              <c:ext xmlns:c16="http://schemas.microsoft.com/office/drawing/2014/chart" uri="{C3380CC4-5D6E-409C-BE32-E72D297353CC}">
                <c16:uniqueId val="{00000004-23E6-42AD-BE84-934C48A496E7}"/>
              </c:ext>
            </c:extLst>
          </c:dPt>
          <c:dPt>
            <c:idx val="4"/>
            <c:bubble3D val="0"/>
            <c:explosion val="7"/>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3-23E6-42AD-BE84-934C48A496E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Planas!$T$340:$T$344</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Planas!$U$340:$U$344</c:f>
              <c:numCache>
                <c:formatCode>General</c:formatCode>
                <c:ptCount val="5"/>
                <c:pt idx="0">
                  <c:v>5</c:v>
                </c:pt>
                <c:pt idx="3">
                  <c:v>1</c:v>
                </c:pt>
                <c:pt idx="4">
                  <c:v>1</c:v>
                </c:pt>
              </c:numCache>
            </c:numRef>
          </c:val>
          <c:extLst xmlns:c16r2="http://schemas.microsoft.com/office/drawing/2015/06/chart">
            <c:ext xmlns:c16="http://schemas.microsoft.com/office/drawing/2014/chart" uri="{C3380CC4-5D6E-409C-BE32-E72D297353CC}">
              <c16:uniqueId val="{00000000-23E6-42AD-BE84-934C48A496E7}"/>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12700" cap="flat" cmpd="sng" algn="ctr">
      <a:solidFill>
        <a:schemeClr val="tx1">
          <a:lumMod val="50000"/>
          <a:lumOff val="50000"/>
        </a:schemeClr>
      </a:solidFill>
      <a:round/>
    </a:ln>
    <a:effectLst/>
  </c:spPr>
  <c:txPr>
    <a:bodyPr/>
    <a:lstStyle/>
    <a:p>
      <a:pPr>
        <a:defRPr/>
      </a:pPr>
      <a:endParaRPr lang="lt-L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tx1"/>
                </a:solidFill>
                <a:latin typeface="Times New Roman" panose="02020603050405020304" pitchFamily="18" charset="0"/>
                <a:ea typeface="+mj-ea"/>
                <a:cs typeface="Times New Roman" panose="02020603050405020304" pitchFamily="18" charset="0"/>
              </a:defRPr>
            </a:pPr>
            <a:r>
              <a:rPr lang="lt-LT">
                <a:solidFill>
                  <a:schemeClr val="tx1"/>
                </a:solidFill>
                <a:latin typeface="Times New Roman" panose="02020603050405020304" pitchFamily="18" charset="0"/>
                <a:cs typeface="Times New Roman" panose="02020603050405020304" pitchFamily="18" charset="0"/>
              </a:rPr>
              <a:t>07 programos</a:t>
            </a:r>
            <a:r>
              <a:rPr lang="lt-LT" baseline="0">
                <a:solidFill>
                  <a:schemeClr val="tx1"/>
                </a:solidFill>
                <a:latin typeface="Times New Roman" panose="02020603050405020304" pitchFamily="18" charset="0"/>
                <a:cs typeface="Times New Roman" panose="02020603050405020304" pitchFamily="18" charset="0"/>
              </a:rPr>
              <a:t> vykdymas</a:t>
            </a:r>
            <a:endParaRPr lang="lt-LT">
              <a:solidFill>
                <a:schemeClr val="tx1"/>
              </a:solidFill>
              <a:latin typeface="Times New Roman" panose="02020603050405020304" pitchFamily="18" charset="0"/>
              <a:cs typeface="Times New Roman" panose="02020603050405020304" pitchFamily="18" charset="0"/>
            </a:endParaRP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6"/>
            <c:spPr>
              <a:solidFill>
                <a:srgbClr val="E2EFDA"/>
              </a:solidFill>
              <a:ln w="15875">
                <a:solidFill>
                  <a:schemeClr val="accent6">
                    <a:lumMod val="60000"/>
                    <a:lumOff val="40000"/>
                  </a:schemeClr>
                </a:solidFill>
              </a:ln>
              <a:effectLst/>
              <a:sp3d contourW="15875">
                <a:contourClr>
                  <a:schemeClr val="accent6">
                    <a:lumMod val="60000"/>
                    <a:lumOff val="40000"/>
                  </a:schemeClr>
                </a:contourClr>
              </a:sp3d>
            </c:spPr>
            <c:extLst xmlns:c16r2="http://schemas.microsoft.com/office/drawing/2015/06/chart">
              <c:ext xmlns:c16="http://schemas.microsoft.com/office/drawing/2014/chart" uri="{C3380CC4-5D6E-409C-BE32-E72D297353CC}">
                <c16:uniqueId val="{00000003-E704-4C4B-87E5-0D2D0AEE10ED}"/>
              </c:ext>
            </c:extLst>
          </c:dPt>
          <c:dPt>
            <c:idx val="1"/>
            <c:bubble3D val="0"/>
            <c:spPr>
              <a:solidFill>
                <a:srgbClr val="FFF2CC"/>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6-E704-4C4B-87E5-0D2D0AEE10ED}"/>
              </c:ext>
            </c:extLst>
          </c:dPt>
          <c:dPt>
            <c:idx val="2"/>
            <c:bubble3D val="0"/>
            <c:explosion val="13"/>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2-E704-4C4B-87E5-0D2D0AEE10ED}"/>
              </c:ext>
            </c:extLst>
          </c:dPt>
          <c:dPt>
            <c:idx val="3"/>
            <c:bubble3D val="0"/>
            <c:explosion val="13"/>
            <c:spPr>
              <a:solidFill>
                <a:srgbClr val="D9E1F2"/>
              </a:solidFill>
              <a:ln w="15875">
                <a:solidFill>
                  <a:schemeClr val="accent5">
                    <a:lumMod val="60000"/>
                    <a:lumOff val="40000"/>
                  </a:schemeClr>
                </a:solidFill>
              </a:ln>
              <a:effectLst/>
              <a:sp3d contourW="15875">
                <a:contourClr>
                  <a:schemeClr val="accent5">
                    <a:lumMod val="60000"/>
                    <a:lumOff val="40000"/>
                  </a:schemeClr>
                </a:contourClr>
              </a:sp3d>
            </c:spPr>
            <c:extLst xmlns:c16r2="http://schemas.microsoft.com/office/drawing/2015/06/chart">
              <c:ext xmlns:c16="http://schemas.microsoft.com/office/drawing/2014/chart" uri="{C3380CC4-5D6E-409C-BE32-E72D297353CC}">
                <c16:uniqueId val="{00000005-E704-4C4B-87E5-0D2D0AEE10ED}"/>
              </c:ext>
            </c:extLst>
          </c:dPt>
          <c:dPt>
            <c:idx val="4"/>
            <c:bubble3D val="0"/>
            <c:explosion val="11"/>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4-E704-4C4B-87E5-0D2D0AEE10ED}"/>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Planas!$T$354:$T$358</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Planas!$U$354:$U$358</c:f>
              <c:numCache>
                <c:formatCode>General</c:formatCode>
                <c:ptCount val="5"/>
                <c:pt idx="0">
                  <c:v>3</c:v>
                </c:pt>
                <c:pt idx="2">
                  <c:v>7</c:v>
                </c:pt>
                <c:pt idx="3">
                  <c:v>2</c:v>
                </c:pt>
              </c:numCache>
            </c:numRef>
          </c:val>
          <c:extLst xmlns:c16r2="http://schemas.microsoft.com/office/drawing/2015/06/chart">
            <c:ext xmlns:c16="http://schemas.microsoft.com/office/drawing/2014/chart" uri="{C3380CC4-5D6E-409C-BE32-E72D297353CC}">
              <c16:uniqueId val="{00000000-E704-4C4B-87E5-0D2D0AEE10ED}"/>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12700" cap="flat" cmpd="sng" algn="ctr">
      <a:solidFill>
        <a:schemeClr val="tx1">
          <a:lumMod val="50000"/>
          <a:lumOff val="50000"/>
        </a:schemeClr>
      </a:solidFill>
      <a:round/>
    </a:ln>
    <a:effectLst/>
  </c:spPr>
  <c:txPr>
    <a:bodyPr/>
    <a:lstStyle/>
    <a:p>
      <a:pPr>
        <a:defRPr/>
      </a:pPr>
      <a:endParaRPr lang="lt-L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a:solidFill>
                  <a:sysClr val="windowText" lastClr="000000"/>
                </a:solidFill>
                <a:latin typeface="Times New Roman" panose="02020603050405020304" pitchFamily="18" charset="0"/>
                <a:cs typeface="Times New Roman" panose="02020603050405020304" pitchFamily="18" charset="0"/>
              </a:rPr>
              <a:t>08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1"/>
            <c:spPr>
              <a:solidFill>
                <a:srgbClr val="E2EFDA"/>
              </a:solidFill>
              <a:ln w="15875">
                <a:solidFill>
                  <a:schemeClr val="accent6">
                    <a:lumMod val="60000"/>
                    <a:lumOff val="40000"/>
                  </a:schemeClr>
                </a:solidFill>
              </a:ln>
              <a:effectLst/>
              <a:sp3d contourW="15875">
                <a:contourClr>
                  <a:schemeClr val="accent6">
                    <a:lumMod val="60000"/>
                    <a:lumOff val="40000"/>
                  </a:schemeClr>
                </a:contourClr>
              </a:sp3d>
            </c:spPr>
            <c:extLst xmlns:c16r2="http://schemas.microsoft.com/office/drawing/2015/06/chart">
              <c:ext xmlns:c16="http://schemas.microsoft.com/office/drawing/2014/chart" uri="{C3380CC4-5D6E-409C-BE32-E72D297353CC}">
                <c16:uniqueId val="{00000002-D22E-4594-B567-4675CCB72359}"/>
              </c:ext>
            </c:extLst>
          </c:dPt>
          <c:dPt>
            <c:idx val="1"/>
            <c:bubble3D val="0"/>
            <c:spPr>
              <a:solidFill>
                <a:srgbClr val="FFF2CC"/>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6-D22E-4594-B567-4675CCB72359}"/>
              </c:ext>
            </c:extLst>
          </c:dPt>
          <c:dPt>
            <c:idx val="2"/>
            <c:bubble3D val="0"/>
            <c:explosion val="8"/>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3-D22E-4594-B567-4675CCB72359}"/>
              </c:ext>
            </c:extLst>
          </c:dPt>
          <c:dPt>
            <c:idx val="3"/>
            <c:bubble3D val="0"/>
            <c:explosion val="9"/>
            <c:spPr>
              <a:solidFill>
                <a:srgbClr val="D9E1F2"/>
              </a:solidFill>
              <a:ln w="15875">
                <a:solidFill>
                  <a:schemeClr val="accent5">
                    <a:lumMod val="60000"/>
                    <a:lumOff val="40000"/>
                  </a:schemeClr>
                </a:solidFill>
              </a:ln>
              <a:effectLst/>
              <a:sp3d contourW="15875">
                <a:contourClr>
                  <a:schemeClr val="accent5">
                    <a:lumMod val="60000"/>
                    <a:lumOff val="40000"/>
                  </a:schemeClr>
                </a:contourClr>
              </a:sp3d>
            </c:spPr>
            <c:extLst xmlns:c16r2="http://schemas.microsoft.com/office/drawing/2015/06/chart">
              <c:ext xmlns:c16="http://schemas.microsoft.com/office/drawing/2014/chart" uri="{C3380CC4-5D6E-409C-BE32-E72D297353CC}">
                <c16:uniqueId val="{00000004-D22E-4594-B567-4675CCB72359}"/>
              </c:ext>
            </c:extLst>
          </c:dPt>
          <c:dPt>
            <c:idx val="4"/>
            <c:bubble3D val="0"/>
            <c:explosion val="10"/>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5-D22E-4594-B567-4675CCB72359}"/>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Planas!$T$408:$T$412</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Planas!$U$408:$U$412</c:f>
              <c:numCache>
                <c:formatCode>General</c:formatCode>
                <c:ptCount val="5"/>
                <c:pt idx="0">
                  <c:v>13</c:v>
                </c:pt>
                <c:pt idx="1">
                  <c:v>2</c:v>
                </c:pt>
                <c:pt idx="2">
                  <c:v>3</c:v>
                </c:pt>
                <c:pt idx="3">
                  <c:v>2</c:v>
                </c:pt>
                <c:pt idx="4">
                  <c:v>2</c:v>
                </c:pt>
              </c:numCache>
            </c:numRef>
          </c:val>
          <c:extLst xmlns:c16r2="http://schemas.microsoft.com/office/drawing/2015/06/chart">
            <c:ext xmlns:c16="http://schemas.microsoft.com/office/drawing/2014/chart" uri="{C3380CC4-5D6E-409C-BE32-E72D297353CC}">
              <c16:uniqueId val="{00000000-D22E-4594-B567-4675CCB72359}"/>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12700" cap="flat" cmpd="sng" algn="ctr">
      <a:solidFill>
        <a:schemeClr val="tx1">
          <a:lumMod val="50000"/>
          <a:lumOff val="50000"/>
        </a:schemeClr>
      </a:solidFill>
      <a:round/>
    </a:ln>
    <a:effectLst/>
  </c:spPr>
  <c:txPr>
    <a:bodyPr/>
    <a:lstStyle/>
    <a:p>
      <a:pPr>
        <a:defRPr/>
      </a:pPr>
      <a:endParaRPr lang="lt-L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a:solidFill>
                  <a:schemeClr val="tx1"/>
                </a:solidFill>
                <a:latin typeface="Times New Roman" panose="02020603050405020304" pitchFamily="18" charset="0"/>
                <a:cs typeface="Times New Roman" panose="02020603050405020304" pitchFamily="18" charset="0"/>
              </a:rPr>
              <a:t>09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8"/>
            <c:spPr>
              <a:solidFill>
                <a:srgbClr val="E2EFDA"/>
              </a:solidFill>
              <a:ln w="15875">
                <a:solidFill>
                  <a:schemeClr val="accent6">
                    <a:lumMod val="60000"/>
                    <a:lumOff val="40000"/>
                  </a:schemeClr>
                </a:solidFill>
              </a:ln>
              <a:effectLst/>
              <a:sp3d contourW="15875">
                <a:contourClr>
                  <a:schemeClr val="accent6">
                    <a:lumMod val="60000"/>
                    <a:lumOff val="40000"/>
                  </a:schemeClr>
                </a:contourClr>
              </a:sp3d>
            </c:spPr>
            <c:extLst xmlns:c16r2="http://schemas.microsoft.com/office/drawing/2015/06/chart">
              <c:ext xmlns:c16="http://schemas.microsoft.com/office/drawing/2014/chart" uri="{C3380CC4-5D6E-409C-BE32-E72D297353CC}">
                <c16:uniqueId val="{00000004-B7C4-40DB-9019-218002DD1386}"/>
              </c:ext>
            </c:extLst>
          </c:dPt>
          <c:dPt>
            <c:idx val="1"/>
            <c:bubble3D val="0"/>
            <c:explosion val="6"/>
            <c:spPr>
              <a:solidFill>
                <a:srgbClr val="FFF2CC"/>
              </a:solidFill>
              <a:ln w="15875">
                <a:solidFill>
                  <a:schemeClr val="accent4">
                    <a:lumMod val="40000"/>
                    <a:lumOff val="60000"/>
                  </a:schemeClr>
                </a:solidFill>
              </a:ln>
              <a:effectLst/>
              <a:sp3d contourW="1587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6-B7C4-40DB-9019-218002DD1386}"/>
              </c:ext>
            </c:extLst>
          </c:dPt>
          <c:dPt>
            <c:idx val="2"/>
            <c:bubble3D val="0"/>
            <c:explosion val="8"/>
            <c:spPr>
              <a:solidFill>
                <a:srgbClr val="FFC000"/>
              </a:solidFill>
              <a:ln w="15875">
                <a:solidFill>
                  <a:schemeClr val="accent4">
                    <a:lumMod val="60000"/>
                    <a:lumOff val="40000"/>
                  </a:schemeClr>
                </a:solidFill>
              </a:ln>
              <a:effectLst/>
              <a:sp3d contourW="15875">
                <a:contourClr>
                  <a:schemeClr val="accent4">
                    <a:lumMod val="60000"/>
                    <a:lumOff val="40000"/>
                  </a:schemeClr>
                </a:contourClr>
              </a:sp3d>
            </c:spPr>
            <c:extLst xmlns:c16r2="http://schemas.microsoft.com/office/drawing/2015/06/chart">
              <c:ext xmlns:c16="http://schemas.microsoft.com/office/drawing/2014/chart" uri="{C3380CC4-5D6E-409C-BE32-E72D297353CC}">
                <c16:uniqueId val="{00000002-B7C4-40DB-9019-218002DD1386}"/>
              </c:ext>
            </c:extLst>
          </c:dPt>
          <c:dPt>
            <c:idx val="3"/>
            <c:bubble3D val="0"/>
            <c:explosion val="4"/>
            <c:spPr>
              <a:solidFill>
                <a:srgbClr val="D9E1F2"/>
              </a:solidFill>
              <a:ln w="15875">
                <a:solidFill>
                  <a:schemeClr val="accent5">
                    <a:lumMod val="60000"/>
                    <a:lumOff val="40000"/>
                  </a:schemeClr>
                </a:solidFill>
              </a:ln>
              <a:effectLst/>
              <a:sp3d contourW="15875">
                <a:contourClr>
                  <a:schemeClr val="accent5">
                    <a:lumMod val="60000"/>
                    <a:lumOff val="40000"/>
                  </a:schemeClr>
                </a:contourClr>
              </a:sp3d>
            </c:spPr>
            <c:extLst xmlns:c16r2="http://schemas.microsoft.com/office/drawing/2015/06/chart">
              <c:ext xmlns:c16="http://schemas.microsoft.com/office/drawing/2014/chart" uri="{C3380CC4-5D6E-409C-BE32-E72D297353CC}">
                <c16:uniqueId val="{00000005-B7C4-40DB-9019-218002DD1386}"/>
              </c:ext>
            </c:extLst>
          </c:dPt>
          <c:dPt>
            <c:idx val="4"/>
            <c:bubble3D val="0"/>
            <c:explosion val="7"/>
            <c:spPr>
              <a:solidFill>
                <a:srgbClr val="FCE4D6"/>
              </a:solidFill>
              <a:ln w="15875">
                <a:solidFill>
                  <a:schemeClr val="accent2">
                    <a:lumMod val="60000"/>
                    <a:lumOff val="40000"/>
                  </a:schemeClr>
                </a:solidFill>
              </a:ln>
              <a:effectLst/>
              <a:sp3d contourW="15875">
                <a:contourClr>
                  <a:schemeClr val="accent2">
                    <a:lumMod val="60000"/>
                    <a:lumOff val="40000"/>
                  </a:schemeClr>
                </a:contourClr>
              </a:sp3d>
            </c:spPr>
            <c:extLst xmlns:c16r2="http://schemas.microsoft.com/office/drawing/2015/06/chart">
              <c:ext xmlns:c16="http://schemas.microsoft.com/office/drawing/2014/chart" uri="{C3380CC4-5D6E-409C-BE32-E72D297353CC}">
                <c16:uniqueId val="{00000003-B7C4-40DB-9019-218002DD1386}"/>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Planas!$T$539:$T$543</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Planas!$U$539:$U$543</c:f>
              <c:numCache>
                <c:formatCode>General</c:formatCode>
                <c:ptCount val="5"/>
                <c:pt idx="0">
                  <c:v>5</c:v>
                </c:pt>
                <c:pt idx="1">
                  <c:v>1</c:v>
                </c:pt>
                <c:pt idx="2">
                  <c:v>3</c:v>
                </c:pt>
                <c:pt idx="3">
                  <c:v>8</c:v>
                </c:pt>
                <c:pt idx="4">
                  <c:v>1</c:v>
                </c:pt>
              </c:numCache>
            </c:numRef>
          </c:val>
          <c:extLst xmlns:c16r2="http://schemas.microsoft.com/office/drawing/2015/06/chart">
            <c:ext xmlns:c16="http://schemas.microsoft.com/office/drawing/2014/chart" uri="{C3380CC4-5D6E-409C-BE32-E72D297353CC}">
              <c16:uniqueId val="{00000000-B7C4-40DB-9019-218002DD1386}"/>
            </c:ext>
          </c:extLst>
        </c:ser>
        <c:dLbls>
          <c:dLblPos val="inEnd"/>
          <c:showLegendKey val="0"/>
          <c:showVal val="1"/>
          <c:showCatName val="0"/>
          <c:showSerName val="0"/>
          <c:showPercent val="0"/>
          <c:showBubbleSize val="0"/>
          <c:showLeaderLines val="1"/>
        </c:dLbls>
      </c:pie3DChart>
      <c:spPr>
        <a:solidFill>
          <a:schemeClr val="bg1">
            <a:lumMod val="95000"/>
          </a:schemeClr>
        </a:solid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12700" cap="flat" cmpd="sng" algn="ctr">
      <a:solidFill>
        <a:schemeClr val="tx1">
          <a:lumMod val="50000"/>
          <a:lumOff val="50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18</xdr:col>
      <xdr:colOff>5952</xdr:colOff>
      <xdr:row>21</xdr:row>
      <xdr:rowOff>452437</xdr:rowOff>
    </xdr:from>
    <xdr:to>
      <xdr:col>21</xdr:col>
      <xdr:colOff>11906</xdr:colOff>
      <xdr:row>24</xdr:row>
      <xdr:rowOff>1095373</xdr:rowOff>
    </xdr:to>
    <xdr:graphicFrame macro="">
      <xdr:nvGraphicFramePr>
        <xdr:cNvPr id="9" name="Chart 8">
          <a:extLst>
            <a:ext uri="{FF2B5EF4-FFF2-40B4-BE49-F238E27FC236}">
              <a16:creationId xmlns:a16="http://schemas.microsoft.com/office/drawing/2014/main" xmlns="" id="{07B4B7B4-963A-4785-A754-DCDFF5F2AB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5953</xdr:colOff>
      <xdr:row>61</xdr:row>
      <xdr:rowOff>378619</xdr:rowOff>
    </xdr:from>
    <xdr:to>
      <xdr:col>21</xdr:col>
      <xdr:colOff>0</xdr:colOff>
      <xdr:row>62</xdr:row>
      <xdr:rowOff>1797844</xdr:rowOff>
    </xdr:to>
    <xdr:graphicFrame macro="">
      <xdr:nvGraphicFramePr>
        <xdr:cNvPr id="10" name="Chart 9">
          <a:extLst>
            <a:ext uri="{FF2B5EF4-FFF2-40B4-BE49-F238E27FC236}">
              <a16:creationId xmlns:a16="http://schemas.microsoft.com/office/drawing/2014/main" xmlns="" id="{C935B6EC-44FA-488B-A6B2-6D2D4DC869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577452</xdr:colOff>
      <xdr:row>121</xdr:row>
      <xdr:rowOff>9525</xdr:rowOff>
    </xdr:from>
    <xdr:to>
      <xdr:col>21</xdr:col>
      <xdr:colOff>11905</xdr:colOff>
      <xdr:row>124</xdr:row>
      <xdr:rowOff>11905</xdr:rowOff>
    </xdr:to>
    <xdr:graphicFrame macro="">
      <xdr:nvGraphicFramePr>
        <xdr:cNvPr id="13" name="Chart 12">
          <a:extLst>
            <a:ext uri="{FF2B5EF4-FFF2-40B4-BE49-F238E27FC236}">
              <a16:creationId xmlns:a16="http://schemas.microsoft.com/office/drawing/2014/main" xmlns="" id="{D71B77CE-A73C-469F-83E8-02A9AAC191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11905</xdr:colOff>
      <xdr:row>192</xdr:row>
      <xdr:rowOff>378618</xdr:rowOff>
    </xdr:from>
    <xdr:to>
      <xdr:col>20</xdr:col>
      <xdr:colOff>2274094</xdr:colOff>
      <xdr:row>195</xdr:row>
      <xdr:rowOff>511967</xdr:rowOff>
    </xdr:to>
    <xdr:graphicFrame macro="">
      <xdr:nvGraphicFramePr>
        <xdr:cNvPr id="14" name="Chart 13">
          <a:extLst>
            <a:ext uri="{FF2B5EF4-FFF2-40B4-BE49-F238E27FC236}">
              <a16:creationId xmlns:a16="http://schemas.microsoft.com/office/drawing/2014/main" xmlns="" id="{A7E263F3-E264-4F6D-9DDB-CAF741C514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5952</xdr:colOff>
      <xdr:row>305</xdr:row>
      <xdr:rowOff>450056</xdr:rowOff>
    </xdr:from>
    <xdr:to>
      <xdr:col>20</xdr:col>
      <xdr:colOff>2262189</xdr:colOff>
      <xdr:row>308</xdr:row>
      <xdr:rowOff>857250</xdr:rowOff>
    </xdr:to>
    <xdr:graphicFrame macro="">
      <xdr:nvGraphicFramePr>
        <xdr:cNvPr id="15" name="Chart 14">
          <a:extLst>
            <a:ext uri="{FF2B5EF4-FFF2-40B4-BE49-F238E27FC236}">
              <a16:creationId xmlns:a16="http://schemas.microsoft.com/office/drawing/2014/main" xmlns="" id="{270F5E20-3972-43EC-BFE6-ED09A347CB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-1</xdr:colOff>
      <xdr:row>345</xdr:row>
      <xdr:rowOff>402431</xdr:rowOff>
    </xdr:from>
    <xdr:to>
      <xdr:col>20</xdr:col>
      <xdr:colOff>2274094</xdr:colOff>
      <xdr:row>350</xdr:row>
      <xdr:rowOff>381000</xdr:rowOff>
    </xdr:to>
    <xdr:graphicFrame macro="">
      <xdr:nvGraphicFramePr>
        <xdr:cNvPr id="16" name="Chart 15">
          <a:extLst>
            <a:ext uri="{FF2B5EF4-FFF2-40B4-BE49-F238E27FC236}">
              <a16:creationId xmlns:a16="http://schemas.microsoft.com/office/drawing/2014/main" xmlns="" id="{63B4FB97-4BC5-4E94-816C-8DC0EDB105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577454</xdr:colOff>
      <xdr:row>359</xdr:row>
      <xdr:rowOff>402431</xdr:rowOff>
    </xdr:from>
    <xdr:to>
      <xdr:col>21</xdr:col>
      <xdr:colOff>11906</xdr:colOff>
      <xdr:row>361</xdr:row>
      <xdr:rowOff>1214437</xdr:rowOff>
    </xdr:to>
    <xdr:graphicFrame macro="">
      <xdr:nvGraphicFramePr>
        <xdr:cNvPr id="2" name="Chart 1">
          <a:extLst>
            <a:ext uri="{FF2B5EF4-FFF2-40B4-BE49-F238E27FC236}">
              <a16:creationId xmlns:a16="http://schemas.microsoft.com/office/drawing/2014/main" xmlns="" id="{BA160806-3996-48F0-AD5A-2CA0B5D65A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5951</xdr:colOff>
      <xdr:row>413</xdr:row>
      <xdr:rowOff>366712</xdr:rowOff>
    </xdr:from>
    <xdr:to>
      <xdr:col>20</xdr:col>
      <xdr:colOff>2274094</xdr:colOff>
      <xdr:row>416</xdr:row>
      <xdr:rowOff>619125</xdr:rowOff>
    </xdr:to>
    <xdr:graphicFrame macro="">
      <xdr:nvGraphicFramePr>
        <xdr:cNvPr id="3" name="Chart 2">
          <a:extLst>
            <a:ext uri="{FF2B5EF4-FFF2-40B4-BE49-F238E27FC236}">
              <a16:creationId xmlns:a16="http://schemas.microsoft.com/office/drawing/2014/main" xmlns="" id="{23E05C73-5484-4E59-8033-91FCA114E6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-1</xdr:colOff>
      <xdr:row>544</xdr:row>
      <xdr:rowOff>283368</xdr:rowOff>
    </xdr:from>
    <xdr:to>
      <xdr:col>20</xdr:col>
      <xdr:colOff>2285999</xdr:colOff>
      <xdr:row>546</xdr:row>
      <xdr:rowOff>2095499</xdr:rowOff>
    </xdr:to>
    <xdr:graphicFrame macro="">
      <xdr:nvGraphicFramePr>
        <xdr:cNvPr id="4" name="Chart 3">
          <a:extLst>
            <a:ext uri="{FF2B5EF4-FFF2-40B4-BE49-F238E27FC236}">
              <a16:creationId xmlns:a16="http://schemas.microsoft.com/office/drawing/2014/main" xmlns="" id="{DBC108D6-CBB9-40CB-BC70-4AB19D2983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-1</xdr:colOff>
      <xdr:row>611</xdr:row>
      <xdr:rowOff>390525</xdr:rowOff>
    </xdr:from>
    <xdr:to>
      <xdr:col>20</xdr:col>
      <xdr:colOff>2285999</xdr:colOff>
      <xdr:row>614</xdr:row>
      <xdr:rowOff>583405</xdr:rowOff>
    </xdr:to>
    <xdr:graphicFrame macro="">
      <xdr:nvGraphicFramePr>
        <xdr:cNvPr id="5" name="Chart 4">
          <a:extLst>
            <a:ext uri="{FF2B5EF4-FFF2-40B4-BE49-F238E27FC236}">
              <a16:creationId xmlns:a16="http://schemas.microsoft.com/office/drawing/2014/main" xmlns="" id="{C0A57865-48AC-4022-B6AC-D19E3CA320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-1</xdr:colOff>
      <xdr:row>749</xdr:row>
      <xdr:rowOff>426243</xdr:rowOff>
    </xdr:from>
    <xdr:to>
      <xdr:col>21</xdr:col>
      <xdr:colOff>0</xdr:colOff>
      <xdr:row>751</xdr:row>
      <xdr:rowOff>380999</xdr:rowOff>
    </xdr:to>
    <xdr:graphicFrame macro="">
      <xdr:nvGraphicFramePr>
        <xdr:cNvPr id="6" name="Chart 5">
          <a:extLst>
            <a:ext uri="{FF2B5EF4-FFF2-40B4-BE49-F238E27FC236}">
              <a16:creationId xmlns:a16="http://schemas.microsoft.com/office/drawing/2014/main" xmlns="" id="{0C5D0D5F-A326-4117-B038-7379CF8CA0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Z859"/>
  <sheetViews>
    <sheetView tabSelected="1" zoomScale="90" zoomScaleNormal="90" workbookViewId="0">
      <selection activeCell="Q7" sqref="Q7"/>
    </sheetView>
  </sheetViews>
  <sheetFormatPr defaultColWidth="8.7109375" defaultRowHeight="15" x14ac:dyDescent="0.25"/>
  <cols>
    <col min="1" max="1" width="7.85546875" style="202" customWidth="1"/>
    <col min="2" max="2" width="19.7109375" style="202" customWidth="1"/>
    <col min="3" max="3" width="12.7109375" style="202" customWidth="1"/>
    <col min="4" max="4" width="12.7109375" style="203" customWidth="1"/>
    <col min="5" max="5" width="13.140625" style="203" customWidth="1"/>
    <col min="6" max="6" width="12.42578125" style="203" customWidth="1"/>
    <col min="7" max="7" width="11.7109375" style="203" customWidth="1"/>
    <col min="8" max="8" width="17.42578125" style="204" customWidth="1"/>
    <col min="9" max="9" width="7.5703125" style="203" customWidth="1"/>
    <col min="10" max="11" width="12.85546875" style="203" customWidth="1"/>
    <col min="12" max="12" width="9.28515625" style="202" hidden="1" customWidth="1"/>
    <col min="13" max="13" width="10.7109375" style="202" hidden="1" customWidth="1"/>
    <col min="14" max="14" width="10" style="202" hidden="1" customWidth="1"/>
    <col min="15" max="15" width="0.140625" style="202" customWidth="1"/>
    <col min="16" max="16" width="77.42578125" style="204" customWidth="1"/>
    <col min="17" max="17" width="56.28515625" style="204" customWidth="1"/>
    <col min="19" max="19" width="11.5703125" customWidth="1"/>
    <col min="20" max="20" width="52.42578125" customWidth="1"/>
    <col min="21" max="21" width="34.28515625" customWidth="1"/>
  </cols>
  <sheetData>
    <row r="2" spans="1:234" ht="15.75" x14ac:dyDescent="0.25">
      <c r="A2" s="20"/>
      <c r="B2" s="20"/>
      <c r="C2" s="20"/>
      <c r="D2" s="30"/>
      <c r="E2" s="21"/>
      <c r="F2" s="21"/>
      <c r="G2" s="22"/>
      <c r="H2" s="23"/>
      <c r="I2" s="25"/>
      <c r="J2" s="25"/>
      <c r="K2" s="25"/>
      <c r="L2" s="25"/>
      <c r="M2" s="25"/>
      <c r="N2" s="25"/>
      <c r="O2" s="25"/>
      <c r="P2" s="25"/>
      <c r="Q2" s="28" t="s">
        <v>1821</v>
      </c>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row>
    <row r="3" spans="1:234" ht="15.75" x14ac:dyDescent="0.25">
      <c r="A3" s="20"/>
      <c r="B3" s="20"/>
      <c r="C3" s="20"/>
      <c r="D3" s="30"/>
      <c r="E3" s="21"/>
      <c r="F3" s="21"/>
      <c r="G3" s="22"/>
      <c r="H3" s="23"/>
      <c r="I3" s="25"/>
      <c r="J3" s="25"/>
      <c r="K3" s="25"/>
      <c r="L3" s="25"/>
      <c r="M3" s="25"/>
      <c r="N3" s="25"/>
      <c r="O3" s="25"/>
      <c r="P3" s="25"/>
      <c r="Q3" s="28" t="s">
        <v>1822</v>
      </c>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row>
    <row r="4" spans="1:234" ht="15.75" x14ac:dyDescent="0.25">
      <c r="A4" s="20"/>
      <c r="B4" s="20"/>
      <c r="C4" s="20"/>
      <c r="D4" s="30"/>
      <c r="E4" s="21"/>
      <c r="F4" s="21"/>
      <c r="G4" s="22"/>
      <c r="H4" s="23"/>
      <c r="I4" s="25"/>
      <c r="J4" s="25"/>
      <c r="K4" s="25"/>
      <c r="L4" s="25"/>
      <c r="M4" s="25"/>
      <c r="N4" s="25"/>
      <c r="O4" s="25"/>
      <c r="P4" s="25"/>
      <c r="Q4" s="28" t="s">
        <v>1871</v>
      </c>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row>
    <row r="5" spans="1:234" ht="15.75" x14ac:dyDescent="0.25">
      <c r="A5" s="20"/>
      <c r="B5" s="20"/>
      <c r="C5" s="20"/>
      <c r="D5" s="30"/>
      <c r="E5" s="21"/>
      <c r="F5" s="21"/>
      <c r="G5" s="22"/>
      <c r="H5" s="23"/>
      <c r="I5" s="25"/>
      <c r="J5" s="25"/>
      <c r="K5" s="25"/>
      <c r="L5" s="25"/>
      <c r="M5" s="25"/>
      <c r="N5" s="25"/>
      <c r="O5" s="24"/>
      <c r="P5" s="24"/>
      <c r="Q5" s="28"/>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row>
    <row r="6" spans="1:234" s="26" customFormat="1" ht="15" customHeight="1" x14ac:dyDescent="0.25">
      <c r="A6" s="31"/>
      <c r="B6" s="31"/>
      <c r="C6" s="31"/>
      <c r="D6" s="31"/>
      <c r="E6" s="31"/>
      <c r="F6" s="31"/>
      <c r="G6" s="31"/>
      <c r="H6" s="31"/>
      <c r="I6" s="27"/>
      <c r="J6" s="27"/>
      <c r="K6" s="27"/>
      <c r="L6" s="27"/>
      <c r="M6" s="27"/>
      <c r="N6" s="27"/>
      <c r="O6" s="27"/>
      <c r="P6" s="27"/>
      <c r="Q6" s="29" t="s">
        <v>1823</v>
      </c>
    </row>
    <row r="7" spans="1:234" s="26" customFormat="1" ht="15" customHeight="1" x14ac:dyDescent="0.25">
      <c r="A7" s="31"/>
      <c r="B7" s="31"/>
      <c r="C7" s="31"/>
      <c r="D7" s="31"/>
      <c r="E7" s="31"/>
      <c r="F7" s="31"/>
      <c r="G7" s="31"/>
      <c r="H7" s="31"/>
      <c r="I7" s="27"/>
      <c r="J7" s="27"/>
      <c r="K7" s="27"/>
      <c r="L7" s="27"/>
      <c r="M7" s="27"/>
      <c r="N7" s="27"/>
      <c r="O7" s="27"/>
      <c r="P7" s="27"/>
      <c r="Q7" s="29" t="s">
        <v>1824</v>
      </c>
    </row>
    <row r="8" spans="1:234" s="26" customFormat="1" ht="15" customHeight="1" x14ac:dyDescent="0.25">
      <c r="A8" s="31"/>
      <c r="B8" s="31"/>
      <c r="C8" s="31"/>
      <c r="D8" s="31"/>
      <c r="E8" s="31"/>
      <c r="F8" s="31"/>
      <c r="G8" s="31"/>
      <c r="H8" s="31"/>
      <c r="I8" s="27"/>
      <c r="J8" s="27"/>
      <c r="K8" s="27"/>
      <c r="L8" s="27"/>
      <c r="M8" s="27"/>
      <c r="N8" s="27"/>
      <c r="O8" s="27"/>
      <c r="P8" s="27"/>
      <c r="Q8" s="29" t="s">
        <v>1825</v>
      </c>
    </row>
    <row r="9" spans="1:234" ht="16.5" thickBot="1" x14ac:dyDescent="0.3">
      <c r="A9" s="32"/>
      <c r="B9" s="32"/>
      <c r="C9" s="32"/>
      <c r="D9" s="33"/>
      <c r="E9" s="33"/>
      <c r="F9" s="33"/>
      <c r="G9" s="33"/>
      <c r="H9" s="34"/>
      <c r="I9" s="33"/>
      <c r="J9" s="33"/>
      <c r="K9" s="33"/>
      <c r="L9" s="32"/>
      <c r="M9" s="32"/>
      <c r="N9" s="32"/>
      <c r="O9" s="32"/>
      <c r="P9" s="34"/>
      <c r="Q9" s="34"/>
    </row>
    <row r="10" spans="1:234" s="2" customFormat="1" ht="63" customHeight="1" thickBot="1" x14ac:dyDescent="0.3">
      <c r="A10" s="379" t="s">
        <v>0</v>
      </c>
      <c r="B10" s="380" t="s">
        <v>1</v>
      </c>
      <c r="C10" s="383" t="s">
        <v>2</v>
      </c>
      <c r="D10" s="380" t="s">
        <v>1828</v>
      </c>
      <c r="E10" s="383" t="s">
        <v>1829</v>
      </c>
      <c r="F10" s="380" t="s">
        <v>1830</v>
      </c>
      <c r="G10" s="376" t="s">
        <v>1826</v>
      </c>
      <c r="H10" s="387" t="s">
        <v>3</v>
      </c>
      <c r="I10" s="387"/>
      <c r="J10" s="387"/>
      <c r="K10" s="387"/>
      <c r="L10" s="387"/>
      <c r="M10" s="387"/>
      <c r="N10" s="387"/>
      <c r="O10" s="387"/>
      <c r="P10" s="387"/>
      <c r="Q10" s="387"/>
    </row>
    <row r="11" spans="1:234" s="2" customFormat="1" ht="16.5" customHeight="1" thickBot="1" x14ac:dyDescent="0.3">
      <c r="A11" s="379"/>
      <c r="B11" s="381"/>
      <c r="C11" s="383"/>
      <c r="D11" s="381"/>
      <c r="E11" s="383"/>
      <c r="F11" s="381"/>
      <c r="G11" s="377"/>
      <c r="H11" s="374" t="s">
        <v>4</v>
      </c>
      <c r="I11" s="384" t="s">
        <v>5</v>
      </c>
      <c r="J11" s="385" t="s">
        <v>1832</v>
      </c>
      <c r="K11" s="385"/>
      <c r="L11" s="388" t="s">
        <v>6</v>
      </c>
      <c r="M11" s="388"/>
      <c r="N11" s="388" t="s">
        <v>7</v>
      </c>
      <c r="O11" s="388"/>
      <c r="P11" s="384" t="s">
        <v>8</v>
      </c>
      <c r="Q11" s="386" t="s">
        <v>9</v>
      </c>
    </row>
    <row r="12" spans="1:234" s="2" customFormat="1" ht="95.25" thickBot="1" x14ac:dyDescent="0.3">
      <c r="A12" s="379"/>
      <c r="B12" s="382"/>
      <c r="C12" s="383"/>
      <c r="D12" s="382"/>
      <c r="E12" s="383"/>
      <c r="F12" s="382"/>
      <c r="G12" s="378"/>
      <c r="H12" s="382"/>
      <c r="I12" s="383"/>
      <c r="J12" s="35" t="s">
        <v>10</v>
      </c>
      <c r="K12" s="35" t="s">
        <v>11</v>
      </c>
      <c r="L12" s="36" t="s">
        <v>10</v>
      </c>
      <c r="M12" s="36" t="s">
        <v>11</v>
      </c>
      <c r="N12" s="36" t="s">
        <v>10</v>
      </c>
      <c r="O12" s="36" t="s">
        <v>11</v>
      </c>
      <c r="P12" s="384"/>
      <c r="Q12" s="386"/>
    </row>
    <row r="13" spans="1:234" ht="64.5" customHeight="1" thickBot="1" x14ac:dyDescent="0.3">
      <c r="A13" s="37" t="s">
        <v>12</v>
      </c>
      <c r="B13" s="38" t="s">
        <v>13</v>
      </c>
      <c r="C13" s="39"/>
      <c r="D13" s="40">
        <f>D14+D32+D38+D43+D49</f>
        <v>1029.3</v>
      </c>
      <c r="E13" s="40">
        <f>E14+E32+E38+E43+E49+0.1</f>
        <v>607.50000000000011</v>
      </c>
      <c r="F13" s="40">
        <f>F14+F32+F38+F43+F49</f>
        <v>421.8</v>
      </c>
      <c r="G13" s="41">
        <f>SUM(E13/D13)</f>
        <v>0.59020693675313329</v>
      </c>
      <c r="H13" s="39" t="s">
        <v>13</v>
      </c>
      <c r="I13" s="42"/>
      <c r="J13" s="43"/>
      <c r="K13" s="43"/>
      <c r="L13" s="44"/>
      <c r="M13" s="44"/>
      <c r="N13" s="44"/>
      <c r="O13" s="44"/>
      <c r="P13" s="267"/>
      <c r="Q13" s="268"/>
    </row>
    <row r="14" spans="1:234" ht="138.75" customHeight="1" thickBot="1" x14ac:dyDescent="0.3">
      <c r="A14" s="45" t="s">
        <v>16</v>
      </c>
      <c r="B14" s="46" t="s">
        <v>17</v>
      </c>
      <c r="C14" s="47"/>
      <c r="D14" s="48">
        <f>SUM(D15:D15)</f>
        <v>207.2</v>
      </c>
      <c r="E14" s="48">
        <f>SUM(E15:E15)</f>
        <v>97.800000000000011</v>
      </c>
      <c r="F14" s="48">
        <f>SUM(F15:F15)</f>
        <v>109.3</v>
      </c>
      <c r="G14" s="49">
        <f>SUM(E14/D14)</f>
        <v>0.47200772200772206</v>
      </c>
      <c r="H14" s="47" t="s">
        <v>18</v>
      </c>
      <c r="I14" s="50" t="s">
        <v>19</v>
      </c>
      <c r="J14" s="51">
        <v>107</v>
      </c>
      <c r="K14" s="51">
        <v>80</v>
      </c>
      <c r="L14" s="52" t="s">
        <v>21</v>
      </c>
      <c r="M14" s="52" t="s">
        <v>15</v>
      </c>
      <c r="N14" s="52" t="s">
        <v>22</v>
      </c>
      <c r="O14" s="52" t="s">
        <v>15</v>
      </c>
      <c r="P14" s="230"/>
      <c r="Q14" s="231"/>
      <c r="S14" s="3"/>
      <c r="T14" s="10" t="s">
        <v>1</v>
      </c>
      <c r="U14" s="10" t="s">
        <v>1551</v>
      </c>
    </row>
    <row r="15" spans="1:234" ht="101.25" customHeight="1" thickBot="1" x14ac:dyDescent="0.3">
      <c r="A15" s="53" t="s">
        <v>23</v>
      </c>
      <c r="B15" s="54" t="s">
        <v>24</v>
      </c>
      <c r="C15" s="55"/>
      <c r="D15" s="56">
        <f>D16+D19+D26+D29</f>
        <v>207.2</v>
      </c>
      <c r="E15" s="56">
        <f>E16+E19+E26+E29</f>
        <v>97.800000000000011</v>
      </c>
      <c r="F15" s="56">
        <f>F16+F19+F26+F29</f>
        <v>109.3</v>
      </c>
      <c r="G15" s="57">
        <f>SUM(E15/D15)</f>
        <v>0.47200772200772206</v>
      </c>
      <c r="H15" s="55"/>
      <c r="I15" s="58"/>
      <c r="J15" s="59"/>
      <c r="K15" s="59"/>
      <c r="L15" s="60"/>
      <c r="M15" s="60"/>
      <c r="N15" s="60"/>
      <c r="O15" s="60"/>
      <c r="P15" s="210"/>
      <c r="Q15" s="211"/>
      <c r="S15" s="7"/>
      <c r="T15" s="14" t="s">
        <v>1552</v>
      </c>
      <c r="U15" s="11">
        <v>2</v>
      </c>
    </row>
    <row r="16" spans="1:234" ht="109.5" customHeight="1" x14ac:dyDescent="0.25">
      <c r="A16" s="280" t="s">
        <v>25</v>
      </c>
      <c r="B16" s="282" t="s">
        <v>26</v>
      </c>
      <c r="C16" s="61" t="s">
        <v>27</v>
      </c>
      <c r="D16" s="62">
        <f>SUM(D17:D18)+45</f>
        <v>45</v>
      </c>
      <c r="E16" s="62"/>
      <c r="F16" s="63">
        <f>SUM(F17:F18)+45</f>
        <v>45</v>
      </c>
      <c r="G16" s="64">
        <f>SUM(E16/D16)</f>
        <v>0</v>
      </c>
      <c r="H16" s="61" t="s">
        <v>28</v>
      </c>
      <c r="I16" s="65" t="s">
        <v>19</v>
      </c>
      <c r="J16" s="66">
        <v>1</v>
      </c>
      <c r="K16" s="67">
        <v>0</v>
      </c>
      <c r="L16" s="68"/>
      <c r="M16" s="68"/>
      <c r="N16" s="68"/>
      <c r="O16" s="68"/>
      <c r="P16" s="61" t="s">
        <v>30</v>
      </c>
      <c r="Q16" s="69" t="s">
        <v>1541</v>
      </c>
      <c r="S16" s="4"/>
      <c r="T16" s="14" t="s">
        <v>1556</v>
      </c>
      <c r="U16" s="11">
        <v>1</v>
      </c>
    </row>
    <row r="17" spans="1:21" ht="105.75" customHeight="1" thickBot="1" x14ac:dyDescent="0.3">
      <c r="A17" s="284"/>
      <c r="B17" s="324"/>
      <c r="C17" s="70"/>
      <c r="D17" s="71"/>
      <c r="E17" s="71"/>
      <c r="F17" s="72"/>
      <c r="G17" s="72"/>
      <c r="H17" s="70" t="s">
        <v>31</v>
      </c>
      <c r="I17" s="73" t="s">
        <v>19</v>
      </c>
      <c r="J17" s="74">
        <v>1</v>
      </c>
      <c r="K17" s="75">
        <v>0</v>
      </c>
      <c r="L17" s="76"/>
      <c r="M17" s="76"/>
      <c r="N17" s="76"/>
      <c r="O17" s="76"/>
      <c r="P17" s="70" t="s">
        <v>32</v>
      </c>
      <c r="Q17" s="77" t="s">
        <v>1542</v>
      </c>
      <c r="S17" s="6"/>
      <c r="T17" s="14" t="s">
        <v>1557</v>
      </c>
      <c r="U17" s="11">
        <v>4</v>
      </c>
    </row>
    <row r="18" spans="1:21" ht="58.5" hidden="1" customHeight="1" thickBot="1" x14ac:dyDescent="0.3">
      <c r="A18" s="281"/>
      <c r="B18" s="283"/>
      <c r="C18" s="70"/>
      <c r="D18" s="71"/>
      <c r="E18" s="71"/>
      <c r="F18" s="72"/>
      <c r="G18" s="72"/>
      <c r="H18" s="70" t="s">
        <v>33</v>
      </c>
      <c r="I18" s="73" t="s">
        <v>19</v>
      </c>
      <c r="J18" s="78"/>
      <c r="K18" s="78"/>
      <c r="L18" s="76" t="s">
        <v>29</v>
      </c>
      <c r="M18" s="76" t="s">
        <v>15</v>
      </c>
      <c r="N18" s="76" t="s">
        <v>29</v>
      </c>
      <c r="O18" s="76" t="s">
        <v>15</v>
      </c>
      <c r="P18" s="70"/>
      <c r="Q18" s="77"/>
      <c r="S18" s="5"/>
      <c r="T18" s="12" t="s">
        <v>1554</v>
      </c>
      <c r="U18" s="13">
        <v>11</v>
      </c>
    </row>
    <row r="19" spans="1:21" ht="110.25" x14ac:dyDescent="0.25">
      <c r="A19" s="280" t="s">
        <v>34</v>
      </c>
      <c r="B19" s="282" t="s">
        <v>35</v>
      </c>
      <c r="C19" s="61"/>
      <c r="D19" s="62">
        <f>SUM(D20:D25)</f>
        <v>67.400000000000006</v>
      </c>
      <c r="E19" s="62">
        <f>SUM(E20:E25)</f>
        <v>22.9</v>
      </c>
      <c r="F19" s="63">
        <f>SUM(F20:F25)</f>
        <v>44.5</v>
      </c>
      <c r="G19" s="79">
        <f>SUM(E19/D19)</f>
        <v>0.33976261127596435</v>
      </c>
      <c r="H19" s="61" t="s">
        <v>36</v>
      </c>
      <c r="I19" s="65" t="s">
        <v>19</v>
      </c>
      <c r="J19" s="66">
        <v>1</v>
      </c>
      <c r="K19" s="67">
        <v>0</v>
      </c>
      <c r="L19" s="68"/>
      <c r="M19" s="68"/>
      <c r="N19" s="68"/>
      <c r="O19" s="68"/>
      <c r="P19" s="61" t="s">
        <v>1543</v>
      </c>
      <c r="Q19" s="69" t="s">
        <v>1565</v>
      </c>
      <c r="S19" s="9"/>
      <c r="T19" s="14" t="s">
        <v>1555</v>
      </c>
      <c r="U19" s="15"/>
    </row>
    <row r="20" spans="1:21" ht="76.5" customHeight="1" x14ac:dyDescent="0.25">
      <c r="A20" s="284"/>
      <c r="B20" s="324"/>
      <c r="C20" s="70" t="s">
        <v>37</v>
      </c>
      <c r="D20" s="71">
        <v>51.2</v>
      </c>
      <c r="E20" s="71">
        <v>22.9</v>
      </c>
      <c r="F20" s="72">
        <v>28.3</v>
      </c>
      <c r="G20" s="80">
        <f>SUM(E20/D20)</f>
        <v>0.44726562499999994</v>
      </c>
      <c r="H20" s="70" t="s">
        <v>38</v>
      </c>
      <c r="I20" s="73" t="s">
        <v>19</v>
      </c>
      <c r="J20" s="74">
        <v>1</v>
      </c>
      <c r="K20" s="81">
        <v>1</v>
      </c>
      <c r="L20" s="76"/>
      <c r="M20" s="76"/>
      <c r="N20" s="76"/>
      <c r="O20" s="76"/>
      <c r="P20" s="70" t="s">
        <v>1544</v>
      </c>
      <c r="Q20" s="77"/>
      <c r="S20" s="8"/>
      <c r="T20" s="14" t="s">
        <v>1553</v>
      </c>
      <c r="U20" s="13">
        <v>3</v>
      </c>
    </row>
    <row r="21" spans="1:21" ht="120" customHeight="1" x14ac:dyDescent="0.25">
      <c r="A21" s="284"/>
      <c r="B21" s="324"/>
      <c r="C21" s="70" t="s">
        <v>27</v>
      </c>
      <c r="D21" s="71">
        <v>16.2</v>
      </c>
      <c r="E21" s="71">
        <v>0</v>
      </c>
      <c r="F21" s="72">
        <v>16.2</v>
      </c>
      <c r="G21" s="82">
        <f>SUM(E21/D21)</f>
        <v>0</v>
      </c>
      <c r="H21" s="70" t="s">
        <v>39</v>
      </c>
      <c r="I21" s="73" t="s">
        <v>19</v>
      </c>
      <c r="J21" s="74">
        <v>1</v>
      </c>
      <c r="K21" s="75">
        <v>0</v>
      </c>
      <c r="L21" s="76"/>
      <c r="M21" s="76"/>
      <c r="N21" s="76"/>
      <c r="O21" s="76"/>
      <c r="P21" s="70" t="s">
        <v>1587</v>
      </c>
      <c r="Q21" s="77" t="s">
        <v>1588</v>
      </c>
      <c r="S21" s="3"/>
      <c r="T21" s="18" t="s">
        <v>1554</v>
      </c>
      <c r="U21" s="13">
        <v>10</v>
      </c>
    </row>
    <row r="22" spans="1:21" ht="87" customHeight="1" x14ac:dyDescent="0.25">
      <c r="A22" s="284"/>
      <c r="B22" s="324"/>
      <c r="C22" s="70"/>
      <c r="D22" s="71"/>
      <c r="E22" s="71"/>
      <c r="F22" s="72"/>
      <c r="G22" s="72"/>
      <c r="H22" s="70" t="s">
        <v>40</v>
      </c>
      <c r="I22" s="73" t="s">
        <v>19</v>
      </c>
      <c r="J22" s="74">
        <v>1</v>
      </c>
      <c r="K22" s="81">
        <v>1</v>
      </c>
      <c r="L22" s="76"/>
      <c r="M22" s="76"/>
      <c r="N22" s="76"/>
      <c r="O22" s="76"/>
      <c r="P22" s="83" t="s">
        <v>40</v>
      </c>
      <c r="Q22" s="84"/>
    </row>
    <row r="23" spans="1:21" ht="149.25" customHeight="1" x14ac:dyDescent="0.25">
      <c r="A23" s="284"/>
      <c r="B23" s="324"/>
      <c r="C23" s="70"/>
      <c r="D23" s="71"/>
      <c r="E23" s="71"/>
      <c r="F23" s="72"/>
      <c r="G23" s="72"/>
      <c r="H23" s="70" t="s">
        <v>41</v>
      </c>
      <c r="I23" s="73" t="s">
        <v>19</v>
      </c>
      <c r="J23" s="74">
        <v>2</v>
      </c>
      <c r="K23" s="85">
        <v>1</v>
      </c>
      <c r="L23" s="76"/>
      <c r="M23" s="76"/>
      <c r="N23" s="76"/>
      <c r="O23" s="76"/>
      <c r="P23" s="70" t="s">
        <v>1589</v>
      </c>
      <c r="Q23" s="77" t="s">
        <v>1833</v>
      </c>
    </row>
    <row r="24" spans="1:21" ht="44.25" hidden="1" customHeight="1" x14ac:dyDescent="0.25">
      <c r="A24" s="284"/>
      <c r="B24" s="324"/>
      <c r="C24" s="70"/>
      <c r="D24" s="71"/>
      <c r="E24" s="71"/>
      <c r="F24" s="72"/>
      <c r="G24" s="72"/>
      <c r="H24" s="70" t="s">
        <v>43</v>
      </c>
      <c r="I24" s="73" t="s">
        <v>19</v>
      </c>
      <c r="J24" s="78"/>
      <c r="K24" s="78"/>
      <c r="L24" s="76" t="s">
        <v>29</v>
      </c>
      <c r="M24" s="76" t="s">
        <v>15</v>
      </c>
      <c r="N24" s="76" t="s">
        <v>29</v>
      </c>
      <c r="O24" s="76" t="s">
        <v>15</v>
      </c>
      <c r="P24" s="70"/>
      <c r="Q24" s="77"/>
    </row>
    <row r="25" spans="1:21" ht="137.25" customHeight="1" thickBot="1" x14ac:dyDescent="0.3">
      <c r="A25" s="281"/>
      <c r="B25" s="283"/>
      <c r="C25" s="70"/>
      <c r="D25" s="71"/>
      <c r="E25" s="71"/>
      <c r="F25" s="72"/>
      <c r="G25" s="72"/>
      <c r="H25" s="70" t="s">
        <v>44</v>
      </c>
      <c r="I25" s="73" t="s">
        <v>19</v>
      </c>
      <c r="J25" s="86">
        <v>1</v>
      </c>
      <c r="K25" s="87">
        <v>0</v>
      </c>
      <c r="L25" s="76" t="s">
        <v>29</v>
      </c>
      <c r="M25" s="76" t="s">
        <v>15</v>
      </c>
      <c r="N25" s="76"/>
      <c r="O25" s="76"/>
      <c r="P25" s="70" t="s">
        <v>45</v>
      </c>
      <c r="Q25" s="88" t="s">
        <v>1819</v>
      </c>
    </row>
    <row r="26" spans="1:21" ht="124.5" customHeight="1" x14ac:dyDescent="0.25">
      <c r="A26" s="280" t="s">
        <v>46</v>
      </c>
      <c r="B26" s="282" t="s">
        <v>47</v>
      </c>
      <c r="C26" s="61"/>
      <c r="D26" s="62">
        <f>SUM(D27:D28)</f>
        <v>48.5</v>
      </c>
      <c r="E26" s="62">
        <f>SUM(E27:E28)</f>
        <v>47</v>
      </c>
      <c r="F26" s="63">
        <f>SUM(F27:F28)</f>
        <v>1.5</v>
      </c>
      <c r="G26" s="79">
        <f t="shared" ref="G26:G39" si="0">SUM(E26/D26)</f>
        <v>0.96907216494845361</v>
      </c>
      <c r="H26" s="61" t="s">
        <v>48</v>
      </c>
      <c r="I26" s="65" t="s">
        <v>19</v>
      </c>
      <c r="J26" s="66">
        <v>1</v>
      </c>
      <c r="K26" s="89">
        <v>1</v>
      </c>
      <c r="L26" s="68"/>
      <c r="M26" s="68"/>
      <c r="N26" s="68" t="s">
        <v>29</v>
      </c>
      <c r="O26" s="68" t="s">
        <v>15</v>
      </c>
      <c r="P26" s="61" t="s">
        <v>1545</v>
      </c>
      <c r="Q26" s="90"/>
    </row>
    <row r="27" spans="1:21" ht="51" customHeight="1" x14ac:dyDescent="0.25">
      <c r="A27" s="284"/>
      <c r="B27" s="324"/>
      <c r="C27" s="70" t="s">
        <v>37</v>
      </c>
      <c r="D27" s="71">
        <v>26.6</v>
      </c>
      <c r="E27" s="71">
        <v>26.6</v>
      </c>
      <c r="F27" s="72"/>
      <c r="G27" s="80">
        <f t="shared" si="0"/>
        <v>1</v>
      </c>
      <c r="H27" s="246" t="s">
        <v>49</v>
      </c>
      <c r="I27" s="247" t="s">
        <v>19</v>
      </c>
      <c r="J27" s="248">
        <v>1</v>
      </c>
      <c r="K27" s="321">
        <v>0</v>
      </c>
      <c r="L27" s="76"/>
      <c r="M27" s="76"/>
      <c r="N27" s="76"/>
      <c r="O27" s="76"/>
      <c r="P27" s="246" t="s">
        <v>50</v>
      </c>
      <c r="Q27" s="286" t="s">
        <v>1834</v>
      </c>
    </row>
    <row r="28" spans="1:21" ht="45" customHeight="1" thickBot="1" x14ac:dyDescent="0.3">
      <c r="A28" s="281"/>
      <c r="B28" s="283"/>
      <c r="C28" s="70" t="s">
        <v>27</v>
      </c>
      <c r="D28" s="71">
        <v>21.9</v>
      </c>
      <c r="E28" s="71">
        <v>20.399999999999999</v>
      </c>
      <c r="F28" s="72">
        <v>1.5</v>
      </c>
      <c r="G28" s="91">
        <f t="shared" si="0"/>
        <v>0.93150684931506844</v>
      </c>
      <c r="H28" s="214"/>
      <c r="I28" s="217"/>
      <c r="J28" s="220"/>
      <c r="K28" s="299"/>
      <c r="L28" s="76"/>
      <c r="M28" s="76"/>
      <c r="N28" s="76"/>
      <c r="O28" s="76"/>
      <c r="P28" s="214"/>
      <c r="Q28" s="229"/>
    </row>
    <row r="29" spans="1:21" ht="60.75" customHeight="1" x14ac:dyDescent="0.25">
      <c r="A29" s="280" t="s">
        <v>51</v>
      </c>
      <c r="B29" s="282" t="s">
        <v>52</v>
      </c>
      <c r="C29" s="61"/>
      <c r="D29" s="62">
        <f>SUM(D30:D31)</f>
        <v>46.3</v>
      </c>
      <c r="E29" s="62">
        <f>SUM(E30:E31)</f>
        <v>27.9</v>
      </c>
      <c r="F29" s="63">
        <f>SUM(F30:F31)-0.1</f>
        <v>18.3</v>
      </c>
      <c r="G29" s="79">
        <f t="shared" si="0"/>
        <v>0.60259179265658747</v>
      </c>
      <c r="H29" s="212" t="s">
        <v>53</v>
      </c>
      <c r="I29" s="215" t="s">
        <v>19</v>
      </c>
      <c r="J29" s="218">
        <v>100</v>
      </c>
      <c r="K29" s="393">
        <v>76</v>
      </c>
      <c r="L29" s="68" t="s">
        <v>20</v>
      </c>
      <c r="M29" s="68" t="s">
        <v>15</v>
      </c>
      <c r="N29" s="68" t="s">
        <v>20</v>
      </c>
      <c r="O29" s="68" t="s">
        <v>15</v>
      </c>
      <c r="P29" s="212" t="s">
        <v>1835</v>
      </c>
      <c r="Q29" s="227" t="s">
        <v>1590</v>
      </c>
    </row>
    <row r="30" spans="1:21" ht="27.75" customHeight="1" x14ac:dyDescent="0.25">
      <c r="A30" s="284"/>
      <c r="B30" s="324"/>
      <c r="C30" s="70" t="s">
        <v>37</v>
      </c>
      <c r="D30" s="71">
        <v>44.3</v>
      </c>
      <c r="E30" s="71">
        <v>27.5</v>
      </c>
      <c r="F30" s="72">
        <v>16.8</v>
      </c>
      <c r="G30" s="80">
        <f t="shared" si="0"/>
        <v>0.62076749435665923</v>
      </c>
      <c r="H30" s="213"/>
      <c r="I30" s="216"/>
      <c r="J30" s="219"/>
      <c r="K30" s="394"/>
      <c r="L30" s="76"/>
      <c r="M30" s="76"/>
      <c r="N30" s="76"/>
      <c r="O30" s="76"/>
      <c r="P30" s="213"/>
      <c r="Q30" s="228"/>
    </row>
    <row r="31" spans="1:21" ht="39" customHeight="1" thickBot="1" x14ac:dyDescent="0.3">
      <c r="A31" s="281"/>
      <c r="B31" s="283"/>
      <c r="C31" s="70" t="s">
        <v>27</v>
      </c>
      <c r="D31" s="71">
        <v>2</v>
      </c>
      <c r="E31" s="71">
        <v>0.4</v>
      </c>
      <c r="F31" s="72">
        <v>1.6</v>
      </c>
      <c r="G31" s="91">
        <f t="shared" si="0"/>
        <v>0.2</v>
      </c>
      <c r="H31" s="214"/>
      <c r="I31" s="217"/>
      <c r="J31" s="220"/>
      <c r="K31" s="395"/>
      <c r="L31" s="76"/>
      <c r="M31" s="76"/>
      <c r="N31" s="76"/>
      <c r="O31" s="76"/>
      <c r="P31" s="214"/>
      <c r="Q31" s="229"/>
    </row>
    <row r="32" spans="1:21" ht="66" customHeight="1" thickBot="1" x14ac:dyDescent="0.3">
      <c r="A32" s="45" t="s">
        <v>55</v>
      </c>
      <c r="B32" s="46" t="s">
        <v>56</v>
      </c>
      <c r="C32" s="47"/>
      <c r="D32" s="48">
        <f>SUM(D33:D33)</f>
        <v>314.7</v>
      </c>
      <c r="E32" s="48">
        <f>SUM(E33:E33)</f>
        <v>293.7</v>
      </c>
      <c r="F32" s="48">
        <f>SUM(F33:F33)</f>
        <v>21</v>
      </c>
      <c r="G32" s="49">
        <f t="shared" si="0"/>
        <v>0.93326978074356526</v>
      </c>
      <c r="H32" s="47" t="s">
        <v>57</v>
      </c>
      <c r="I32" s="50" t="s">
        <v>19</v>
      </c>
      <c r="J32" s="51">
        <v>5</v>
      </c>
      <c r="K32" s="51">
        <v>3</v>
      </c>
      <c r="L32" s="52" t="s">
        <v>60</v>
      </c>
      <c r="M32" s="52" t="s">
        <v>15</v>
      </c>
      <c r="N32" s="52" t="s">
        <v>59</v>
      </c>
      <c r="O32" s="52" t="s">
        <v>15</v>
      </c>
      <c r="P32" s="230"/>
      <c r="Q32" s="231"/>
    </row>
    <row r="33" spans="1:17" ht="79.5" thickBot="1" x14ac:dyDescent="0.3">
      <c r="A33" s="53" t="s">
        <v>61</v>
      </c>
      <c r="B33" s="54" t="s">
        <v>62</v>
      </c>
      <c r="C33" s="55"/>
      <c r="D33" s="56">
        <f>D34+D37</f>
        <v>314.7</v>
      </c>
      <c r="E33" s="56">
        <f>E34+E37</f>
        <v>293.7</v>
      </c>
      <c r="F33" s="56">
        <f>F34+F37</f>
        <v>21</v>
      </c>
      <c r="G33" s="57">
        <f t="shared" si="0"/>
        <v>0.93326978074356526</v>
      </c>
      <c r="H33" s="55"/>
      <c r="I33" s="58"/>
      <c r="J33" s="59"/>
      <c r="K33" s="59"/>
      <c r="L33" s="60"/>
      <c r="M33" s="60"/>
      <c r="N33" s="60"/>
      <c r="O33" s="60"/>
      <c r="P33" s="210"/>
      <c r="Q33" s="211"/>
    </row>
    <row r="34" spans="1:17" ht="84" customHeight="1" x14ac:dyDescent="0.25">
      <c r="A34" s="280" t="s">
        <v>63</v>
      </c>
      <c r="B34" s="282" t="s">
        <v>64</v>
      </c>
      <c r="C34" s="61"/>
      <c r="D34" s="62">
        <f>SUM(D35:D36)</f>
        <v>308.7</v>
      </c>
      <c r="E34" s="62">
        <f>SUM(E35:E36)</f>
        <v>293.7</v>
      </c>
      <c r="F34" s="63">
        <f>SUM(F35:F36)</f>
        <v>15</v>
      </c>
      <c r="G34" s="79">
        <f t="shared" si="0"/>
        <v>0.9514091350826045</v>
      </c>
      <c r="H34" s="61" t="s">
        <v>57</v>
      </c>
      <c r="I34" s="65" t="s">
        <v>19</v>
      </c>
      <c r="J34" s="66">
        <v>2</v>
      </c>
      <c r="K34" s="92">
        <v>1</v>
      </c>
      <c r="L34" s="68" t="s">
        <v>42</v>
      </c>
      <c r="M34" s="68" t="s">
        <v>15</v>
      </c>
      <c r="N34" s="68" t="s">
        <v>42</v>
      </c>
      <c r="O34" s="68" t="s">
        <v>15</v>
      </c>
      <c r="P34" s="61" t="s">
        <v>1546</v>
      </c>
      <c r="Q34" s="69" t="s">
        <v>1591</v>
      </c>
    </row>
    <row r="35" spans="1:17" ht="79.5" customHeight="1" x14ac:dyDescent="0.25">
      <c r="A35" s="284"/>
      <c r="B35" s="324"/>
      <c r="C35" s="70" t="s">
        <v>27</v>
      </c>
      <c r="D35" s="71">
        <v>305.7</v>
      </c>
      <c r="E35" s="71">
        <v>290.7</v>
      </c>
      <c r="F35" s="72">
        <v>15</v>
      </c>
      <c r="G35" s="80">
        <f t="shared" si="0"/>
        <v>0.95093228655544648</v>
      </c>
      <c r="H35" s="70" t="s">
        <v>65</v>
      </c>
      <c r="I35" s="73" t="s">
        <v>19</v>
      </c>
      <c r="J35" s="74">
        <v>1</v>
      </c>
      <c r="K35" s="81">
        <v>1</v>
      </c>
      <c r="L35" s="76" t="s">
        <v>29</v>
      </c>
      <c r="M35" s="76" t="s">
        <v>15</v>
      </c>
      <c r="N35" s="76"/>
      <c r="O35" s="76"/>
      <c r="P35" s="70" t="s">
        <v>1547</v>
      </c>
      <c r="Q35" s="77" t="s">
        <v>1836</v>
      </c>
    </row>
    <row r="36" spans="1:17" ht="126.75" customHeight="1" thickBot="1" x14ac:dyDescent="0.3">
      <c r="A36" s="281"/>
      <c r="B36" s="283"/>
      <c r="C36" s="70" t="s">
        <v>37</v>
      </c>
      <c r="D36" s="71">
        <v>3</v>
      </c>
      <c r="E36" s="71">
        <v>3</v>
      </c>
      <c r="F36" s="72"/>
      <c r="G36" s="91">
        <f t="shared" si="0"/>
        <v>1</v>
      </c>
      <c r="H36" s="70" t="s">
        <v>66</v>
      </c>
      <c r="I36" s="73" t="s">
        <v>19</v>
      </c>
      <c r="J36" s="74">
        <v>1</v>
      </c>
      <c r="K36" s="81">
        <v>1</v>
      </c>
      <c r="L36" s="76"/>
      <c r="M36" s="76"/>
      <c r="N36" s="76"/>
      <c r="O36" s="76"/>
      <c r="P36" s="70" t="s">
        <v>1548</v>
      </c>
      <c r="Q36" s="77"/>
    </row>
    <row r="37" spans="1:17" ht="166.5" customHeight="1" thickBot="1" x14ac:dyDescent="0.3">
      <c r="A37" s="93" t="s">
        <v>67</v>
      </c>
      <c r="B37" s="94" t="s">
        <v>68</v>
      </c>
      <c r="C37" s="61" t="s">
        <v>27</v>
      </c>
      <c r="D37" s="95">
        <v>6</v>
      </c>
      <c r="E37" s="95"/>
      <c r="F37" s="96">
        <v>6</v>
      </c>
      <c r="G37" s="79">
        <f t="shared" si="0"/>
        <v>0</v>
      </c>
      <c r="H37" s="61" t="s">
        <v>69</v>
      </c>
      <c r="I37" s="65" t="s">
        <v>19</v>
      </c>
      <c r="J37" s="66">
        <v>1</v>
      </c>
      <c r="K37" s="67">
        <v>0</v>
      </c>
      <c r="L37" s="68" t="s">
        <v>29</v>
      </c>
      <c r="M37" s="68" t="s">
        <v>15</v>
      </c>
      <c r="N37" s="68" t="s">
        <v>29</v>
      </c>
      <c r="O37" s="68" t="s">
        <v>15</v>
      </c>
      <c r="P37" s="61"/>
      <c r="Q37" s="69" t="s">
        <v>1837</v>
      </c>
    </row>
    <row r="38" spans="1:17" ht="63.75" thickBot="1" x14ac:dyDescent="0.3">
      <c r="A38" s="45" t="s">
        <v>70</v>
      </c>
      <c r="B38" s="46" t="s">
        <v>71</v>
      </c>
      <c r="C38" s="47"/>
      <c r="D38" s="48">
        <f>SUM(D39:D39)</f>
        <v>5</v>
      </c>
      <c r="E38" s="48"/>
      <c r="F38" s="48">
        <f>SUM(F39:F39)</f>
        <v>5</v>
      </c>
      <c r="G38" s="49">
        <f t="shared" si="0"/>
        <v>0</v>
      </c>
      <c r="H38" s="47" t="s">
        <v>72</v>
      </c>
      <c r="I38" s="50" t="s">
        <v>19</v>
      </c>
      <c r="J38" s="51">
        <v>1</v>
      </c>
      <c r="K38" s="97">
        <v>0</v>
      </c>
      <c r="L38" s="52" t="s">
        <v>29</v>
      </c>
      <c r="M38" s="52" t="s">
        <v>15</v>
      </c>
      <c r="N38" s="52" t="s">
        <v>42</v>
      </c>
      <c r="O38" s="52" t="s">
        <v>15</v>
      </c>
      <c r="P38" s="230"/>
      <c r="Q38" s="231"/>
    </row>
    <row r="39" spans="1:17" ht="62.25" customHeight="1" thickBot="1" x14ac:dyDescent="0.3">
      <c r="A39" s="53" t="s">
        <v>73</v>
      </c>
      <c r="B39" s="54" t="s">
        <v>74</v>
      </c>
      <c r="C39" s="55"/>
      <c r="D39" s="56">
        <f>SUM(D40:D42)</f>
        <v>5</v>
      </c>
      <c r="E39" s="56"/>
      <c r="F39" s="56">
        <f>SUM(F40:F42)</f>
        <v>5</v>
      </c>
      <c r="G39" s="57">
        <f t="shared" si="0"/>
        <v>0</v>
      </c>
      <c r="H39" s="55"/>
      <c r="I39" s="58"/>
      <c r="J39" s="59"/>
      <c r="K39" s="59"/>
      <c r="L39" s="60"/>
      <c r="M39" s="60"/>
      <c r="N39" s="60"/>
      <c r="O39" s="60"/>
      <c r="P39" s="210"/>
      <c r="Q39" s="211"/>
    </row>
    <row r="40" spans="1:17" ht="55.5" hidden="1" customHeight="1" thickBot="1" x14ac:dyDescent="0.3">
      <c r="A40" s="93" t="s">
        <v>75</v>
      </c>
      <c r="B40" s="94" t="s">
        <v>76</v>
      </c>
      <c r="C40" s="61" t="s">
        <v>27</v>
      </c>
      <c r="D40" s="95"/>
      <c r="E40" s="95"/>
      <c r="F40" s="96"/>
      <c r="G40" s="96"/>
      <c r="H40" s="61" t="s">
        <v>77</v>
      </c>
      <c r="I40" s="65" t="s">
        <v>19</v>
      </c>
      <c r="J40" s="98"/>
      <c r="K40" s="98"/>
      <c r="L40" s="68"/>
      <c r="M40" s="68"/>
      <c r="N40" s="68" t="s">
        <v>29</v>
      </c>
      <c r="O40" s="68" t="s">
        <v>15</v>
      </c>
      <c r="P40" s="61"/>
      <c r="Q40" s="69"/>
    </row>
    <row r="41" spans="1:17" ht="79.5" hidden="1" thickBot="1" x14ac:dyDescent="0.3">
      <c r="A41" s="93" t="s">
        <v>78</v>
      </c>
      <c r="B41" s="94" t="s">
        <v>79</v>
      </c>
      <c r="C41" s="61" t="s">
        <v>27</v>
      </c>
      <c r="D41" s="95"/>
      <c r="E41" s="95"/>
      <c r="F41" s="96"/>
      <c r="G41" s="96"/>
      <c r="H41" s="61"/>
      <c r="I41" s="65"/>
      <c r="J41" s="98"/>
      <c r="K41" s="98"/>
      <c r="L41" s="68"/>
      <c r="M41" s="68"/>
      <c r="N41" s="68"/>
      <c r="O41" s="68"/>
      <c r="P41" s="61"/>
      <c r="Q41" s="69"/>
    </row>
    <row r="42" spans="1:17" ht="81.75" customHeight="1" thickBot="1" x14ac:dyDescent="0.3">
      <c r="A42" s="93" t="s">
        <v>80</v>
      </c>
      <c r="B42" s="94" t="s">
        <v>81</v>
      </c>
      <c r="C42" s="61" t="s">
        <v>27</v>
      </c>
      <c r="D42" s="95">
        <v>5</v>
      </c>
      <c r="E42" s="95"/>
      <c r="F42" s="96">
        <v>5</v>
      </c>
      <c r="G42" s="79">
        <f>SUM(E42/D42)</f>
        <v>0</v>
      </c>
      <c r="H42" s="61" t="s">
        <v>82</v>
      </c>
      <c r="I42" s="65" t="s">
        <v>19</v>
      </c>
      <c r="J42" s="66">
        <v>1</v>
      </c>
      <c r="K42" s="67">
        <v>0</v>
      </c>
      <c r="L42" s="68" t="s">
        <v>29</v>
      </c>
      <c r="M42" s="68" t="s">
        <v>15</v>
      </c>
      <c r="N42" s="68" t="s">
        <v>29</v>
      </c>
      <c r="O42" s="68" t="s">
        <v>15</v>
      </c>
      <c r="P42" s="61"/>
      <c r="Q42" s="69" t="s">
        <v>1592</v>
      </c>
    </row>
    <row r="43" spans="1:17" ht="63.75" thickBot="1" x14ac:dyDescent="0.3">
      <c r="A43" s="45" t="s">
        <v>83</v>
      </c>
      <c r="B43" s="46" t="s">
        <v>84</v>
      </c>
      <c r="C43" s="47"/>
      <c r="D43" s="48">
        <f>D44+D45+D47</f>
        <v>20.6</v>
      </c>
      <c r="E43" s="48">
        <f>E44+E45+E47</f>
        <v>19.3</v>
      </c>
      <c r="F43" s="48">
        <f>F44+F45+F47</f>
        <v>1.3</v>
      </c>
      <c r="G43" s="49">
        <f>SUM(E43/D43)</f>
        <v>0.93689320388349506</v>
      </c>
      <c r="H43" s="47" t="s">
        <v>85</v>
      </c>
      <c r="I43" s="50" t="s">
        <v>19</v>
      </c>
      <c r="J43" s="51">
        <v>3</v>
      </c>
      <c r="K43" s="51">
        <v>3</v>
      </c>
      <c r="L43" s="52" t="s">
        <v>59</v>
      </c>
      <c r="M43" s="52" t="s">
        <v>15</v>
      </c>
      <c r="N43" s="52" t="s">
        <v>59</v>
      </c>
      <c r="O43" s="52" t="s">
        <v>15</v>
      </c>
      <c r="P43" s="371"/>
      <c r="Q43" s="372"/>
    </row>
    <row r="44" spans="1:17" ht="63.75" hidden="1" thickBot="1" x14ac:dyDescent="0.3">
      <c r="A44" s="99"/>
      <c r="B44" s="100"/>
      <c r="C44" s="70"/>
      <c r="D44" s="71"/>
      <c r="E44" s="71"/>
      <c r="F44" s="72"/>
      <c r="G44" s="72"/>
      <c r="H44" s="70" t="s">
        <v>86</v>
      </c>
      <c r="I44" s="73" t="s">
        <v>87</v>
      </c>
      <c r="J44" s="74">
        <v>100</v>
      </c>
      <c r="K44" s="74">
        <v>0</v>
      </c>
      <c r="L44" s="76" t="s">
        <v>54</v>
      </c>
      <c r="M44" s="76" t="s">
        <v>15</v>
      </c>
      <c r="N44" s="76" t="s">
        <v>54</v>
      </c>
      <c r="O44" s="76" t="s">
        <v>15</v>
      </c>
      <c r="P44" s="70"/>
      <c r="Q44" s="77"/>
    </row>
    <row r="45" spans="1:17" ht="63.75" thickBot="1" x14ac:dyDescent="0.3">
      <c r="A45" s="53" t="s">
        <v>88</v>
      </c>
      <c r="B45" s="54" t="s">
        <v>89</v>
      </c>
      <c r="C45" s="55"/>
      <c r="D45" s="56">
        <f>SUM(D46:D46)</f>
        <v>12.1</v>
      </c>
      <c r="E45" s="56">
        <f>SUM(E46:E46)</f>
        <v>11.8</v>
      </c>
      <c r="F45" s="56">
        <f>SUM(F46:F46)</f>
        <v>0.3</v>
      </c>
      <c r="G45" s="57">
        <f t="shared" ref="G45:G55" si="1">SUM(E45/D45)</f>
        <v>0.97520661157024802</v>
      </c>
      <c r="H45" s="55"/>
      <c r="I45" s="58"/>
      <c r="J45" s="59"/>
      <c r="K45" s="59"/>
      <c r="L45" s="60"/>
      <c r="M45" s="60"/>
      <c r="N45" s="60"/>
      <c r="O45" s="60"/>
      <c r="P45" s="210"/>
      <c r="Q45" s="211"/>
    </row>
    <row r="46" spans="1:17" ht="146.25" customHeight="1" thickBot="1" x14ac:dyDescent="0.3">
      <c r="A46" s="93" t="s">
        <v>90</v>
      </c>
      <c r="B46" s="94" t="s">
        <v>91</v>
      </c>
      <c r="C46" s="61" t="s">
        <v>27</v>
      </c>
      <c r="D46" s="95">
        <v>12.1</v>
      </c>
      <c r="E46" s="95">
        <v>11.8</v>
      </c>
      <c r="F46" s="96">
        <v>0.3</v>
      </c>
      <c r="G46" s="79">
        <f t="shared" si="1"/>
        <v>0.97520661157024802</v>
      </c>
      <c r="H46" s="61" t="s">
        <v>85</v>
      </c>
      <c r="I46" s="65" t="s">
        <v>19</v>
      </c>
      <c r="J46" s="66">
        <v>3</v>
      </c>
      <c r="K46" s="89">
        <v>3</v>
      </c>
      <c r="L46" s="68" t="s">
        <v>59</v>
      </c>
      <c r="M46" s="68" t="s">
        <v>15</v>
      </c>
      <c r="N46" s="68" t="s">
        <v>59</v>
      </c>
      <c r="O46" s="68" t="s">
        <v>15</v>
      </c>
      <c r="P46" s="61" t="s">
        <v>1593</v>
      </c>
      <c r="Q46" s="69" t="s">
        <v>1838</v>
      </c>
    </row>
    <row r="47" spans="1:17" ht="48" customHeight="1" thickBot="1" x14ac:dyDescent="0.3">
      <c r="A47" s="53" t="s">
        <v>92</v>
      </c>
      <c r="B47" s="54" t="s">
        <v>93</v>
      </c>
      <c r="C47" s="55"/>
      <c r="D47" s="56">
        <f>SUM(D48:D48)</f>
        <v>8.5</v>
      </c>
      <c r="E47" s="56">
        <f>SUM(E48:E48)</f>
        <v>7.5</v>
      </c>
      <c r="F47" s="56">
        <f>SUM(F48:F48)</f>
        <v>1</v>
      </c>
      <c r="G47" s="57">
        <f t="shared" si="1"/>
        <v>0.88235294117647056</v>
      </c>
      <c r="H47" s="55"/>
      <c r="I47" s="58"/>
      <c r="J47" s="59"/>
      <c r="K47" s="59"/>
      <c r="L47" s="60"/>
      <c r="M47" s="60"/>
      <c r="N47" s="60"/>
      <c r="O47" s="60"/>
      <c r="P47" s="210"/>
      <c r="Q47" s="211"/>
    </row>
    <row r="48" spans="1:17" ht="101.25" customHeight="1" thickBot="1" x14ac:dyDescent="0.3">
      <c r="A48" s="93" t="s">
        <v>94</v>
      </c>
      <c r="B48" s="94" t="s">
        <v>95</v>
      </c>
      <c r="C48" s="61" t="s">
        <v>27</v>
      </c>
      <c r="D48" s="95">
        <v>8.5</v>
      </c>
      <c r="E48" s="95">
        <v>7.5</v>
      </c>
      <c r="F48" s="96">
        <v>1</v>
      </c>
      <c r="G48" s="79">
        <f t="shared" si="1"/>
        <v>0.88235294117647056</v>
      </c>
      <c r="H48" s="61" t="s">
        <v>96</v>
      </c>
      <c r="I48" s="65" t="s">
        <v>19</v>
      </c>
      <c r="J48" s="66">
        <v>6</v>
      </c>
      <c r="K48" s="92">
        <v>5</v>
      </c>
      <c r="L48" s="68" t="s">
        <v>97</v>
      </c>
      <c r="M48" s="68" t="s">
        <v>15</v>
      </c>
      <c r="N48" s="68" t="s">
        <v>97</v>
      </c>
      <c r="O48" s="68" t="s">
        <v>15</v>
      </c>
      <c r="P48" s="61" t="s">
        <v>1839</v>
      </c>
      <c r="Q48" s="69" t="s">
        <v>1594</v>
      </c>
    </row>
    <row r="49" spans="1:21" ht="63.75" thickBot="1" x14ac:dyDescent="0.3">
      <c r="A49" s="45" t="s">
        <v>98</v>
      </c>
      <c r="B49" s="46" t="s">
        <v>99</v>
      </c>
      <c r="C49" s="47"/>
      <c r="D49" s="48">
        <f t="shared" ref="D49:F50" si="2">SUM(D50:D50)</f>
        <v>481.8</v>
      </c>
      <c r="E49" s="48">
        <f t="shared" si="2"/>
        <v>196.60000000000002</v>
      </c>
      <c r="F49" s="48">
        <f t="shared" si="2"/>
        <v>285.2</v>
      </c>
      <c r="G49" s="49">
        <f t="shared" si="1"/>
        <v>0.4080531340805314</v>
      </c>
      <c r="H49" s="47" t="s">
        <v>100</v>
      </c>
      <c r="I49" s="50" t="s">
        <v>19</v>
      </c>
      <c r="J49" s="51">
        <v>21</v>
      </c>
      <c r="K49" s="51">
        <v>19</v>
      </c>
      <c r="L49" s="52" t="s">
        <v>102</v>
      </c>
      <c r="M49" s="52" t="s">
        <v>15</v>
      </c>
      <c r="N49" s="52" t="s">
        <v>102</v>
      </c>
      <c r="O49" s="52" t="s">
        <v>15</v>
      </c>
      <c r="P49" s="230"/>
      <c r="Q49" s="231"/>
    </row>
    <row r="50" spans="1:21" ht="111" thickBot="1" x14ac:dyDescent="0.3">
      <c r="A50" s="53" t="s">
        <v>103</v>
      </c>
      <c r="B50" s="54" t="s">
        <v>104</v>
      </c>
      <c r="C50" s="55"/>
      <c r="D50" s="56">
        <f t="shared" si="2"/>
        <v>481.8</v>
      </c>
      <c r="E50" s="56">
        <f t="shared" si="2"/>
        <v>196.60000000000002</v>
      </c>
      <c r="F50" s="56">
        <f t="shared" si="2"/>
        <v>285.2</v>
      </c>
      <c r="G50" s="57">
        <f t="shared" si="1"/>
        <v>0.4080531340805314</v>
      </c>
      <c r="H50" s="55"/>
      <c r="I50" s="58"/>
      <c r="J50" s="59"/>
      <c r="K50" s="59"/>
      <c r="L50" s="60"/>
      <c r="M50" s="60"/>
      <c r="N50" s="60"/>
      <c r="O50" s="60"/>
      <c r="P50" s="210"/>
      <c r="Q50" s="211"/>
    </row>
    <row r="51" spans="1:21" ht="175.5" customHeight="1" x14ac:dyDescent="0.25">
      <c r="A51" s="280" t="s">
        <v>105</v>
      </c>
      <c r="B51" s="282" t="s">
        <v>106</v>
      </c>
      <c r="C51" s="61"/>
      <c r="D51" s="62">
        <f>SUM(D52:D53)</f>
        <v>481.8</v>
      </c>
      <c r="E51" s="62">
        <f>SUM(E52:E53)</f>
        <v>196.60000000000002</v>
      </c>
      <c r="F51" s="63">
        <f>SUM(F52:F53)</f>
        <v>285.2</v>
      </c>
      <c r="G51" s="79">
        <f t="shared" si="1"/>
        <v>0.4080531340805314</v>
      </c>
      <c r="H51" s="61" t="s">
        <v>107</v>
      </c>
      <c r="I51" s="65" t="s">
        <v>19</v>
      </c>
      <c r="J51" s="66">
        <v>1</v>
      </c>
      <c r="K51" s="101">
        <v>2</v>
      </c>
      <c r="L51" s="68"/>
      <c r="M51" s="68"/>
      <c r="N51" s="68"/>
      <c r="O51" s="68"/>
      <c r="P51" s="61" t="s">
        <v>1595</v>
      </c>
      <c r="Q51" s="69"/>
    </row>
    <row r="52" spans="1:21" ht="247.5" customHeight="1" x14ac:dyDescent="0.25">
      <c r="A52" s="284"/>
      <c r="B52" s="324"/>
      <c r="C52" s="70" t="s">
        <v>27</v>
      </c>
      <c r="D52" s="71">
        <v>448.5</v>
      </c>
      <c r="E52" s="71">
        <v>163.30000000000001</v>
      </c>
      <c r="F52" s="72">
        <v>285.2</v>
      </c>
      <c r="G52" s="80">
        <f t="shared" si="1"/>
        <v>0.36410256410256414</v>
      </c>
      <c r="H52" s="70" t="s">
        <v>108</v>
      </c>
      <c r="I52" s="73" t="s">
        <v>19</v>
      </c>
      <c r="J52" s="74">
        <v>7</v>
      </c>
      <c r="K52" s="102">
        <v>8</v>
      </c>
      <c r="L52" s="76" t="s">
        <v>109</v>
      </c>
      <c r="M52" s="76" t="s">
        <v>15</v>
      </c>
      <c r="N52" s="76" t="s">
        <v>109</v>
      </c>
      <c r="O52" s="76" t="s">
        <v>15</v>
      </c>
      <c r="P52" s="70" t="s">
        <v>1537</v>
      </c>
      <c r="Q52" s="77" t="s">
        <v>1596</v>
      </c>
    </row>
    <row r="53" spans="1:21" ht="165.75" customHeight="1" thickBot="1" x14ac:dyDescent="0.3">
      <c r="A53" s="281"/>
      <c r="B53" s="283"/>
      <c r="C53" s="70" t="s">
        <v>37</v>
      </c>
      <c r="D53" s="71">
        <v>33.299999999999997</v>
      </c>
      <c r="E53" s="71">
        <v>33.299999999999997</v>
      </c>
      <c r="F53" s="72"/>
      <c r="G53" s="91">
        <f t="shared" si="1"/>
        <v>1</v>
      </c>
      <c r="H53" s="70" t="s">
        <v>111</v>
      </c>
      <c r="I53" s="73" t="s">
        <v>19</v>
      </c>
      <c r="J53" s="74">
        <v>13</v>
      </c>
      <c r="K53" s="85">
        <v>9</v>
      </c>
      <c r="L53" s="76" t="s">
        <v>114</v>
      </c>
      <c r="M53" s="76" t="s">
        <v>15</v>
      </c>
      <c r="N53" s="76" t="s">
        <v>114</v>
      </c>
      <c r="O53" s="76" t="s">
        <v>15</v>
      </c>
      <c r="P53" s="70" t="s">
        <v>1538</v>
      </c>
      <c r="Q53" s="77" t="s">
        <v>1549</v>
      </c>
    </row>
    <row r="54" spans="1:21" ht="53.25" customHeight="1" thickBot="1" x14ac:dyDescent="0.3">
      <c r="A54" s="37" t="s">
        <v>115</v>
      </c>
      <c r="B54" s="38" t="s">
        <v>116</v>
      </c>
      <c r="C54" s="39"/>
      <c r="D54" s="40">
        <f>D55+D79+D95</f>
        <v>10051.099999999999</v>
      </c>
      <c r="E54" s="40">
        <f>E55+E79+E95</f>
        <v>7656.5000000000009</v>
      </c>
      <c r="F54" s="40">
        <f>F55+F79+F95+0.1</f>
        <v>2394.6000000000004</v>
      </c>
      <c r="G54" s="41">
        <f t="shared" si="1"/>
        <v>0.76175741958591614</v>
      </c>
      <c r="H54" s="39"/>
      <c r="I54" s="42"/>
      <c r="J54" s="103"/>
      <c r="K54" s="103"/>
      <c r="L54" s="44"/>
      <c r="M54" s="44"/>
      <c r="N54" s="44"/>
      <c r="O54" s="44"/>
      <c r="P54" s="267"/>
      <c r="Q54" s="268"/>
    </row>
    <row r="55" spans="1:21" ht="106.5" customHeight="1" x14ac:dyDescent="0.25">
      <c r="A55" s="45" t="s">
        <v>117</v>
      </c>
      <c r="B55" s="256" t="s">
        <v>118</v>
      </c>
      <c r="C55" s="47"/>
      <c r="D55" s="48">
        <f>D56+D57+D68</f>
        <v>4620.3999999999996</v>
      </c>
      <c r="E55" s="48">
        <f>E56+E57+E68+0.1</f>
        <v>4502.2000000000007</v>
      </c>
      <c r="F55" s="48">
        <f>F56+F57+F68-0.1</f>
        <v>118.2</v>
      </c>
      <c r="G55" s="49">
        <f t="shared" si="1"/>
        <v>0.97441779932473405</v>
      </c>
      <c r="H55" s="47" t="s">
        <v>119</v>
      </c>
      <c r="I55" s="50" t="s">
        <v>14</v>
      </c>
      <c r="J55" s="51">
        <v>0.5</v>
      </c>
      <c r="K55" s="50">
        <v>0.5</v>
      </c>
      <c r="L55" s="47"/>
      <c r="M55" s="47"/>
      <c r="N55" s="47"/>
      <c r="O55" s="47"/>
      <c r="P55" s="371"/>
      <c r="Q55" s="372"/>
      <c r="S55" s="3"/>
      <c r="T55" s="10" t="s">
        <v>1</v>
      </c>
      <c r="U55" s="10" t="s">
        <v>1551</v>
      </c>
    </row>
    <row r="56" spans="1:21" ht="48" thickBot="1" x14ac:dyDescent="0.3">
      <c r="A56" s="104"/>
      <c r="B56" s="257"/>
      <c r="C56" s="105"/>
      <c r="D56" s="106"/>
      <c r="E56" s="106"/>
      <c r="F56" s="106"/>
      <c r="G56" s="106"/>
      <c r="H56" s="105" t="s">
        <v>122</v>
      </c>
      <c r="I56" s="107" t="s">
        <v>14</v>
      </c>
      <c r="J56" s="108">
        <v>0.5</v>
      </c>
      <c r="K56" s="107">
        <v>0.5</v>
      </c>
      <c r="L56" s="105"/>
      <c r="M56" s="105"/>
      <c r="N56" s="105"/>
      <c r="O56" s="105"/>
      <c r="P56" s="368"/>
      <c r="Q56" s="369"/>
      <c r="S56" s="7"/>
      <c r="T56" s="14" t="s">
        <v>1552</v>
      </c>
      <c r="U56" s="11">
        <v>7</v>
      </c>
    </row>
    <row r="57" spans="1:21" ht="161.25" customHeight="1" thickBot="1" x14ac:dyDescent="0.3">
      <c r="A57" s="53" t="s">
        <v>123</v>
      </c>
      <c r="B57" s="54" t="s">
        <v>124</v>
      </c>
      <c r="C57" s="55"/>
      <c r="D57" s="56">
        <f>D58+D59+D60+D62</f>
        <v>660</v>
      </c>
      <c r="E57" s="56">
        <f>E58+E59+E60+E62</f>
        <v>658.3</v>
      </c>
      <c r="F57" s="56">
        <f>F58+F59+F60+F62</f>
        <v>1.7000000000000002</v>
      </c>
      <c r="G57" s="57">
        <f>SUM(E57/D57)</f>
        <v>0.99742424242424232</v>
      </c>
      <c r="H57" s="55"/>
      <c r="I57" s="58"/>
      <c r="J57" s="59"/>
      <c r="K57" s="59"/>
      <c r="L57" s="60"/>
      <c r="M57" s="60"/>
      <c r="N57" s="60"/>
      <c r="O57" s="60"/>
      <c r="P57" s="210"/>
      <c r="Q57" s="211"/>
      <c r="S57" s="4"/>
      <c r="T57" s="14" t="s">
        <v>1556</v>
      </c>
      <c r="U57" s="11">
        <v>1</v>
      </c>
    </row>
    <row r="58" spans="1:21" ht="84" customHeight="1" thickBot="1" x14ac:dyDescent="0.3">
      <c r="A58" s="93" t="s">
        <v>125</v>
      </c>
      <c r="B58" s="94" t="s">
        <v>126</v>
      </c>
      <c r="C58" s="61" t="s">
        <v>27</v>
      </c>
      <c r="D58" s="95">
        <v>40</v>
      </c>
      <c r="E58" s="95">
        <v>38.9</v>
      </c>
      <c r="F58" s="96">
        <v>1.1000000000000001</v>
      </c>
      <c r="G58" s="79">
        <f>SUM(E58/D58)</f>
        <v>0.97249999999999992</v>
      </c>
      <c r="H58" s="61" t="s">
        <v>127</v>
      </c>
      <c r="I58" s="65" t="s">
        <v>19</v>
      </c>
      <c r="J58" s="66">
        <v>24</v>
      </c>
      <c r="K58" s="109">
        <v>27</v>
      </c>
      <c r="L58" s="68" t="s">
        <v>130</v>
      </c>
      <c r="M58" s="68" t="s">
        <v>15</v>
      </c>
      <c r="N58" s="68" t="s">
        <v>131</v>
      </c>
      <c r="O58" s="68" t="s">
        <v>15</v>
      </c>
      <c r="P58" s="61" t="s">
        <v>1559</v>
      </c>
      <c r="Q58" s="69"/>
      <c r="S58" s="6"/>
      <c r="T58" s="14" t="s">
        <v>1557</v>
      </c>
      <c r="U58" s="11">
        <v>2</v>
      </c>
    </row>
    <row r="59" spans="1:21" ht="57.75" customHeight="1" thickBot="1" x14ac:dyDescent="0.3">
      <c r="A59" s="93" t="s">
        <v>132</v>
      </c>
      <c r="B59" s="94" t="s">
        <v>133</v>
      </c>
      <c r="C59" s="61" t="s">
        <v>27</v>
      </c>
      <c r="D59" s="95">
        <v>26.2</v>
      </c>
      <c r="E59" s="95">
        <v>26.2</v>
      </c>
      <c r="F59" s="96"/>
      <c r="G59" s="79">
        <f>SUM(E59/D59)</f>
        <v>1</v>
      </c>
      <c r="H59" s="61" t="s">
        <v>134</v>
      </c>
      <c r="I59" s="65" t="s">
        <v>19</v>
      </c>
      <c r="J59" s="66">
        <v>11</v>
      </c>
      <c r="K59" s="89">
        <v>11</v>
      </c>
      <c r="L59" s="68" t="s">
        <v>135</v>
      </c>
      <c r="M59" s="68" t="s">
        <v>15</v>
      </c>
      <c r="N59" s="68" t="s">
        <v>135</v>
      </c>
      <c r="O59" s="68" t="s">
        <v>15</v>
      </c>
      <c r="P59" s="61"/>
      <c r="Q59" s="69"/>
      <c r="S59" s="9"/>
      <c r="T59" s="14" t="s">
        <v>1555</v>
      </c>
      <c r="U59" s="19">
        <v>3</v>
      </c>
    </row>
    <row r="60" spans="1:21" ht="93.75" customHeight="1" x14ac:dyDescent="0.25">
      <c r="A60" s="280" t="s">
        <v>136</v>
      </c>
      <c r="B60" s="282" t="s">
        <v>137</v>
      </c>
      <c r="C60" s="61" t="s">
        <v>27</v>
      </c>
      <c r="D60" s="62">
        <f>SUM(D61:D61)+250</f>
        <v>250</v>
      </c>
      <c r="E60" s="62">
        <f>SUM(E61:E61)+250</f>
        <v>250</v>
      </c>
      <c r="F60" s="63"/>
      <c r="G60" s="79">
        <f>SUM(E60/D60)</f>
        <v>1</v>
      </c>
      <c r="H60" s="61" t="s">
        <v>138</v>
      </c>
      <c r="I60" s="65" t="s">
        <v>19</v>
      </c>
      <c r="J60" s="66">
        <v>6</v>
      </c>
      <c r="K60" s="89">
        <v>6</v>
      </c>
      <c r="L60" s="68" t="s">
        <v>109</v>
      </c>
      <c r="M60" s="68" t="s">
        <v>15</v>
      </c>
      <c r="N60" s="68" t="s">
        <v>109</v>
      </c>
      <c r="O60" s="68" t="s">
        <v>15</v>
      </c>
      <c r="P60" s="61" t="s">
        <v>1566</v>
      </c>
      <c r="Q60" s="69"/>
      <c r="S60" s="8"/>
      <c r="T60" s="14" t="s">
        <v>1553</v>
      </c>
      <c r="U60" s="13">
        <v>1</v>
      </c>
    </row>
    <row r="61" spans="1:21" ht="320.25" customHeight="1" thickBot="1" x14ac:dyDescent="0.3">
      <c r="A61" s="281"/>
      <c r="B61" s="283"/>
      <c r="C61" s="70"/>
      <c r="D61" s="71"/>
      <c r="E61" s="71"/>
      <c r="F61" s="72"/>
      <c r="G61" s="72"/>
      <c r="H61" s="70" t="s">
        <v>139</v>
      </c>
      <c r="I61" s="73" t="s">
        <v>19</v>
      </c>
      <c r="J61" s="74">
        <v>2</v>
      </c>
      <c r="K61" s="102">
        <v>4</v>
      </c>
      <c r="L61" s="76" t="s">
        <v>42</v>
      </c>
      <c r="M61" s="76" t="s">
        <v>15</v>
      </c>
      <c r="N61" s="76" t="s">
        <v>42</v>
      </c>
      <c r="O61" s="76" t="s">
        <v>15</v>
      </c>
      <c r="P61" s="70" t="s">
        <v>1597</v>
      </c>
      <c r="Q61" s="77"/>
      <c r="S61" s="16"/>
      <c r="T61" s="17" t="s">
        <v>1554</v>
      </c>
      <c r="U61" s="13">
        <v>14</v>
      </c>
    </row>
    <row r="62" spans="1:21" ht="184.5" customHeight="1" x14ac:dyDescent="0.25">
      <c r="A62" s="280" t="s">
        <v>140</v>
      </c>
      <c r="B62" s="282" t="s">
        <v>141</v>
      </c>
      <c r="C62" s="61" t="s">
        <v>27</v>
      </c>
      <c r="D62" s="62">
        <f>SUM(D63:D67)+343.8</f>
        <v>343.8</v>
      </c>
      <c r="E62" s="62">
        <f>SUM(E63:E67)+343.2</f>
        <v>343.2</v>
      </c>
      <c r="F62" s="63">
        <f>SUM(F63:F67)+0.6</f>
        <v>0.6</v>
      </c>
      <c r="G62" s="79">
        <f>SUM(E62/D62)</f>
        <v>0.99825479930191963</v>
      </c>
      <c r="H62" s="61" t="s">
        <v>142</v>
      </c>
      <c r="I62" s="65" t="s">
        <v>19</v>
      </c>
      <c r="J62" s="66">
        <v>1</v>
      </c>
      <c r="K62" s="89">
        <v>1</v>
      </c>
      <c r="L62" s="68" t="s">
        <v>29</v>
      </c>
      <c r="M62" s="68" t="s">
        <v>15</v>
      </c>
      <c r="N62" s="68" t="s">
        <v>29</v>
      </c>
      <c r="O62" s="68" t="s">
        <v>15</v>
      </c>
      <c r="P62" s="61" t="s">
        <v>1598</v>
      </c>
      <c r="Q62" s="69" t="s">
        <v>1777</v>
      </c>
    </row>
    <row r="63" spans="1:21" ht="213" customHeight="1" x14ac:dyDescent="0.25">
      <c r="A63" s="284"/>
      <c r="B63" s="324"/>
      <c r="C63" s="70"/>
      <c r="D63" s="71"/>
      <c r="E63" s="71"/>
      <c r="F63" s="72"/>
      <c r="G63" s="72"/>
      <c r="H63" s="70" t="s">
        <v>143</v>
      </c>
      <c r="I63" s="73" t="s">
        <v>19</v>
      </c>
      <c r="J63" s="74">
        <v>8</v>
      </c>
      <c r="K63" s="81">
        <v>8</v>
      </c>
      <c r="L63" s="76" t="s">
        <v>110</v>
      </c>
      <c r="M63" s="76" t="s">
        <v>15</v>
      </c>
      <c r="N63" s="76" t="s">
        <v>110</v>
      </c>
      <c r="O63" s="76" t="s">
        <v>15</v>
      </c>
      <c r="P63" s="70" t="s">
        <v>144</v>
      </c>
      <c r="Q63" s="77"/>
    </row>
    <row r="64" spans="1:21" ht="79.5" customHeight="1" x14ac:dyDescent="0.25">
      <c r="A64" s="284"/>
      <c r="B64" s="324"/>
      <c r="C64" s="70"/>
      <c r="D64" s="71"/>
      <c r="E64" s="71"/>
      <c r="F64" s="72"/>
      <c r="G64" s="72"/>
      <c r="H64" s="70" t="s">
        <v>145</v>
      </c>
      <c r="I64" s="73" t="s">
        <v>19</v>
      </c>
      <c r="J64" s="74">
        <v>50</v>
      </c>
      <c r="K64" s="110">
        <v>40</v>
      </c>
      <c r="L64" s="76" t="s">
        <v>146</v>
      </c>
      <c r="M64" s="76" t="s">
        <v>15</v>
      </c>
      <c r="N64" s="76" t="s">
        <v>146</v>
      </c>
      <c r="O64" s="76" t="s">
        <v>15</v>
      </c>
      <c r="P64" s="70" t="s">
        <v>1560</v>
      </c>
      <c r="Q64" s="77" t="s">
        <v>1773</v>
      </c>
    </row>
    <row r="65" spans="1:17" ht="200.25" customHeight="1" x14ac:dyDescent="0.25">
      <c r="A65" s="284"/>
      <c r="B65" s="324"/>
      <c r="C65" s="70"/>
      <c r="D65" s="71"/>
      <c r="E65" s="71"/>
      <c r="F65" s="72"/>
      <c r="G65" s="72"/>
      <c r="H65" s="70" t="s">
        <v>148</v>
      </c>
      <c r="I65" s="73" t="s">
        <v>19</v>
      </c>
      <c r="J65" s="74">
        <v>12</v>
      </c>
      <c r="K65" s="110">
        <v>11</v>
      </c>
      <c r="L65" s="76" t="s">
        <v>149</v>
      </c>
      <c r="M65" s="76" t="s">
        <v>15</v>
      </c>
      <c r="N65" s="76" t="s">
        <v>149</v>
      </c>
      <c r="O65" s="76" t="s">
        <v>15</v>
      </c>
      <c r="P65" s="70" t="s">
        <v>1561</v>
      </c>
      <c r="Q65" s="77" t="s">
        <v>1774</v>
      </c>
    </row>
    <row r="66" spans="1:17" ht="186" customHeight="1" x14ac:dyDescent="0.25">
      <c r="A66" s="284"/>
      <c r="B66" s="324"/>
      <c r="C66" s="70"/>
      <c r="D66" s="71"/>
      <c r="E66" s="71"/>
      <c r="F66" s="72"/>
      <c r="G66" s="72"/>
      <c r="H66" s="70" t="s">
        <v>150</v>
      </c>
      <c r="I66" s="73" t="s">
        <v>19</v>
      </c>
      <c r="J66" s="74">
        <v>3</v>
      </c>
      <c r="K66" s="110">
        <v>2</v>
      </c>
      <c r="L66" s="76" t="s">
        <v>59</v>
      </c>
      <c r="M66" s="76" t="s">
        <v>15</v>
      </c>
      <c r="N66" s="76" t="s">
        <v>59</v>
      </c>
      <c r="O66" s="76" t="s">
        <v>15</v>
      </c>
      <c r="P66" s="70" t="s">
        <v>1599</v>
      </c>
      <c r="Q66" s="77" t="s">
        <v>1774</v>
      </c>
    </row>
    <row r="67" spans="1:17" ht="409.5" customHeight="1" thickBot="1" x14ac:dyDescent="0.3">
      <c r="A67" s="281"/>
      <c r="B67" s="283"/>
      <c r="C67" s="70"/>
      <c r="D67" s="71"/>
      <c r="E67" s="71"/>
      <c r="F67" s="72"/>
      <c r="G67" s="72"/>
      <c r="H67" s="70" t="s">
        <v>151</v>
      </c>
      <c r="I67" s="73" t="s">
        <v>19</v>
      </c>
      <c r="J67" s="74">
        <v>20</v>
      </c>
      <c r="K67" s="111">
        <v>58</v>
      </c>
      <c r="L67" s="76" t="s">
        <v>152</v>
      </c>
      <c r="M67" s="76" t="s">
        <v>15</v>
      </c>
      <c r="N67" s="76" t="s">
        <v>152</v>
      </c>
      <c r="O67" s="76" t="s">
        <v>15</v>
      </c>
      <c r="P67" s="70" t="s">
        <v>1600</v>
      </c>
      <c r="Q67" s="77"/>
    </row>
    <row r="68" spans="1:17" ht="63.75" thickBot="1" x14ac:dyDescent="0.3">
      <c r="A68" s="53" t="s">
        <v>153</v>
      </c>
      <c r="B68" s="54" t="s">
        <v>154</v>
      </c>
      <c r="C68" s="55"/>
      <c r="D68" s="56">
        <f>SUM(D69:D69)</f>
        <v>3960.3999999999996</v>
      </c>
      <c r="E68" s="56">
        <f>SUM(E69:E69)</f>
        <v>3843.8</v>
      </c>
      <c r="F68" s="56">
        <f>SUM(F69:F69)</f>
        <v>116.6</v>
      </c>
      <c r="G68" s="57">
        <f t="shared" ref="G68:G75" si="3">SUM(E68/D68)</f>
        <v>0.9705585294414707</v>
      </c>
      <c r="H68" s="55"/>
      <c r="I68" s="58"/>
      <c r="J68" s="59"/>
      <c r="K68" s="59"/>
      <c r="L68" s="60"/>
      <c r="M68" s="60"/>
      <c r="N68" s="60"/>
      <c r="O68" s="60"/>
      <c r="P68" s="210"/>
      <c r="Q68" s="211"/>
    </row>
    <row r="69" spans="1:17" ht="288" customHeight="1" x14ac:dyDescent="0.25">
      <c r="A69" s="280" t="s">
        <v>155</v>
      </c>
      <c r="B69" s="282" t="s">
        <v>156</v>
      </c>
      <c r="C69" s="61"/>
      <c r="D69" s="62">
        <f>SUM(D70:D78)</f>
        <v>3960.3999999999996</v>
      </c>
      <c r="E69" s="62">
        <f>SUM(E70:E78)-0.1</f>
        <v>3843.8</v>
      </c>
      <c r="F69" s="63">
        <f>SUM(F70:F78)</f>
        <v>116.6</v>
      </c>
      <c r="G69" s="79">
        <f t="shared" si="3"/>
        <v>0.9705585294414707</v>
      </c>
      <c r="H69" s="61" t="s">
        <v>157</v>
      </c>
      <c r="I69" s="65" t="s">
        <v>19</v>
      </c>
      <c r="J69" s="66">
        <v>63</v>
      </c>
      <c r="K69" s="112">
        <v>76</v>
      </c>
      <c r="L69" s="68" t="s">
        <v>158</v>
      </c>
      <c r="M69" s="68" t="s">
        <v>15</v>
      </c>
      <c r="N69" s="68" t="s">
        <v>159</v>
      </c>
      <c r="O69" s="68" t="s">
        <v>15</v>
      </c>
      <c r="P69" s="61" t="s">
        <v>1601</v>
      </c>
      <c r="Q69" s="69"/>
    </row>
    <row r="70" spans="1:17" ht="289.5" customHeight="1" x14ac:dyDescent="0.25">
      <c r="A70" s="284"/>
      <c r="B70" s="324"/>
      <c r="C70" s="70" t="s">
        <v>160</v>
      </c>
      <c r="D70" s="71">
        <v>143.9</v>
      </c>
      <c r="E70" s="71">
        <v>139.9</v>
      </c>
      <c r="F70" s="72">
        <v>4</v>
      </c>
      <c r="G70" s="80">
        <f t="shared" si="3"/>
        <v>0.97220291869353714</v>
      </c>
      <c r="H70" s="70" t="s">
        <v>161</v>
      </c>
      <c r="I70" s="73" t="s">
        <v>19</v>
      </c>
      <c r="J70" s="74">
        <v>163</v>
      </c>
      <c r="K70" s="113">
        <v>182</v>
      </c>
      <c r="L70" s="76" t="s">
        <v>162</v>
      </c>
      <c r="M70" s="76" t="s">
        <v>15</v>
      </c>
      <c r="N70" s="76" t="s">
        <v>163</v>
      </c>
      <c r="O70" s="76" t="s">
        <v>15</v>
      </c>
      <c r="P70" s="70" t="s">
        <v>164</v>
      </c>
      <c r="Q70" s="88" t="s">
        <v>1775</v>
      </c>
    </row>
    <row r="71" spans="1:17" ht="108.75" customHeight="1" x14ac:dyDescent="0.25">
      <c r="A71" s="284"/>
      <c r="B71" s="324"/>
      <c r="C71" s="70" t="s">
        <v>165</v>
      </c>
      <c r="D71" s="71">
        <v>161</v>
      </c>
      <c r="E71" s="71">
        <v>117.4</v>
      </c>
      <c r="F71" s="72">
        <v>43.7</v>
      </c>
      <c r="G71" s="91">
        <f t="shared" si="3"/>
        <v>0.72919254658385102</v>
      </c>
      <c r="H71" s="70" t="s">
        <v>166</v>
      </c>
      <c r="I71" s="73" t="s">
        <v>19</v>
      </c>
      <c r="J71" s="74">
        <v>889</v>
      </c>
      <c r="K71" s="113">
        <v>1642</v>
      </c>
      <c r="L71" s="76" t="s">
        <v>167</v>
      </c>
      <c r="M71" s="76" t="s">
        <v>15</v>
      </c>
      <c r="N71" s="76" t="s">
        <v>168</v>
      </c>
      <c r="O71" s="76" t="s">
        <v>15</v>
      </c>
      <c r="P71" s="70" t="s">
        <v>1558</v>
      </c>
      <c r="Q71" s="77" t="s">
        <v>1840</v>
      </c>
    </row>
    <row r="72" spans="1:17" ht="123" customHeight="1" x14ac:dyDescent="0.25">
      <c r="A72" s="284"/>
      <c r="B72" s="324"/>
      <c r="C72" s="70" t="s">
        <v>169</v>
      </c>
      <c r="D72" s="71">
        <v>140.69999999999999</v>
      </c>
      <c r="E72" s="71">
        <v>72.099999999999994</v>
      </c>
      <c r="F72" s="72">
        <v>68.599999999999994</v>
      </c>
      <c r="G72" s="80">
        <f t="shared" si="3"/>
        <v>0.51243781094527363</v>
      </c>
      <c r="H72" s="70" t="s">
        <v>170</v>
      </c>
      <c r="I72" s="73" t="s">
        <v>19</v>
      </c>
      <c r="J72" s="74">
        <v>30</v>
      </c>
      <c r="K72" s="110">
        <v>22</v>
      </c>
      <c r="L72" s="76" t="s">
        <v>131</v>
      </c>
      <c r="M72" s="76" t="s">
        <v>15</v>
      </c>
      <c r="N72" s="76" t="s">
        <v>129</v>
      </c>
      <c r="O72" s="76" t="s">
        <v>15</v>
      </c>
      <c r="P72" s="70" t="s">
        <v>1562</v>
      </c>
      <c r="Q72" s="77" t="s">
        <v>1841</v>
      </c>
    </row>
    <row r="73" spans="1:17" ht="79.5" customHeight="1" x14ac:dyDescent="0.25">
      <c r="A73" s="284"/>
      <c r="B73" s="324"/>
      <c r="C73" s="70" t="s">
        <v>27</v>
      </c>
      <c r="D73" s="71">
        <v>3383.2</v>
      </c>
      <c r="E73" s="71">
        <v>3382.9</v>
      </c>
      <c r="F73" s="72">
        <v>0.3</v>
      </c>
      <c r="G73" s="80">
        <f t="shared" si="3"/>
        <v>0.99991132655474113</v>
      </c>
      <c r="H73" s="70" t="s">
        <v>172</v>
      </c>
      <c r="I73" s="73" t="s">
        <v>19</v>
      </c>
      <c r="J73" s="114">
        <v>168950</v>
      </c>
      <c r="K73" s="115">
        <v>325604</v>
      </c>
      <c r="L73" s="76" t="s">
        <v>173</v>
      </c>
      <c r="M73" s="76" t="s">
        <v>15</v>
      </c>
      <c r="N73" s="76" t="s">
        <v>174</v>
      </c>
      <c r="O73" s="76" t="s">
        <v>15</v>
      </c>
      <c r="P73" s="70" t="s">
        <v>1563</v>
      </c>
      <c r="Q73" s="77"/>
    </row>
    <row r="74" spans="1:17" ht="76.5" customHeight="1" x14ac:dyDescent="0.25">
      <c r="A74" s="284"/>
      <c r="B74" s="324"/>
      <c r="C74" s="70" t="s">
        <v>175</v>
      </c>
      <c r="D74" s="71">
        <v>83.7</v>
      </c>
      <c r="E74" s="71">
        <v>83.7</v>
      </c>
      <c r="F74" s="72"/>
      <c r="G74" s="80">
        <f t="shared" si="3"/>
        <v>1</v>
      </c>
      <c r="H74" s="70" t="s">
        <v>176</v>
      </c>
      <c r="I74" s="73" t="s">
        <v>19</v>
      </c>
      <c r="J74" s="114">
        <v>84500</v>
      </c>
      <c r="K74" s="115">
        <v>273502</v>
      </c>
      <c r="L74" s="76" t="s">
        <v>177</v>
      </c>
      <c r="M74" s="76" t="s">
        <v>15</v>
      </c>
      <c r="N74" s="76" t="s">
        <v>178</v>
      </c>
      <c r="O74" s="76" t="s">
        <v>15</v>
      </c>
      <c r="P74" s="70" t="s">
        <v>1602</v>
      </c>
      <c r="Q74" s="77"/>
    </row>
    <row r="75" spans="1:17" ht="99" customHeight="1" x14ac:dyDescent="0.25">
      <c r="A75" s="284"/>
      <c r="B75" s="324"/>
      <c r="C75" s="70" t="s">
        <v>37</v>
      </c>
      <c r="D75" s="71">
        <v>47.9</v>
      </c>
      <c r="E75" s="71">
        <v>47.9</v>
      </c>
      <c r="F75" s="72"/>
      <c r="G75" s="91">
        <f t="shared" si="3"/>
        <v>1</v>
      </c>
      <c r="H75" s="70" t="s">
        <v>179</v>
      </c>
      <c r="I75" s="73" t="s">
        <v>19</v>
      </c>
      <c r="J75" s="114">
        <v>61670</v>
      </c>
      <c r="K75" s="116">
        <v>19360</v>
      </c>
      <c r="L75" s="76" t="s">
        <v>180</v>
      </c>
      <c r="M75" s="76" t="s">
        <v>15</v>
      </c>
      <c r="N75" s="76" t="s">
        <v>181</v>
      </c>
      <c r="O75" s="76" t="s">
        <v>15</v>
      </c>
      <c r="P75" s="70" t="s">
        <v>1564</v>
      </c>
      <c r="Q75" s="77"/>
    </row>
    <row r="76" spans="1:17" ht="228.75" customHeight="1" x14ac:dyDescent="0.25">
      <c r="A76" s="284"/>
      <c r="B76" s="324"/>
      <c r="C76" s="70"/>
      <c r="D76" s="71"/>
      <c r="E76" s="71"/>
      <c r="F76" s="72"/>
      <c r="G76" s="72"/>
      <c r="H76" s="70" t="s">
        <v>182</v>
      </c>
      <c r="I76" s="73" t="s">
        <v>19</v>
      </c>
      <c r="J76" s="114">
        <v>17194</v>
      </c>
      <c r="K76" s="117">
        <v>11984</v>
      </c>
      <c r="L76" s="76" t="s">
        <v>183</v>
      </c>
      <c r="M76" s="76" t="s">
        <v>15</v>
      </c>
      <c r="N76" s="76" t="s">
        <v>184</v>
      </c>
      <c r="O76" s="76" t="s">
        <v>15</v>
      </c>
      <c r="P76" s="70" t="s">
        <v>1603</v>
      </c>
      <c r="Q76" s="77" t="s">
        <v>1778</v>
      </c>
    </row>
    <row r="77" spans="1:17" ht="154.5" customHeight="1" x14ac:dyDescent="0.25">
      <c r="A77" s="284"/>
      <c r="B77" s="324"/>
      <c r="C77" s="70"/>
      <c r="D77" s="71"/>
      <c r="E77" s="71"/>
      <c r="F77" s="72"/>
      <c r="G77" s="72"/>
      <c r="H77" s="70" t="s">
        <v>185</v>
      </c>
      <c r="I77" s="73" t="s">
        <v>19</v>
      </c>
      <c r="J77" s="114">
        <v>1746</v>
      </c>
      <c r="K77" s="118">
        <v>1858</v>
      </c>
      <c r="L77" s="76" t="s">
        <v>186</v>
      </c>
      <c r="M77" s="76" t="s">
        <v>15</v>
      </c>
      <c r="N77" s="76" t="s">
        <v>187</v>
      </c>
      <c r="O77" s="76" t="s">
        <v>15</v>
      </c>
      <c r="P77" s="70" t="s">
        <v>1604</v>
      </c>
      <c r="Q77" s="77"/>
    </row>
    <row r="78" spans="1:17" ht="359.25" customHeight="1" thickBot="1" x14ac:dyDescent="0.3">
      <c r="A78" s="281"/>
      <c r="B78" s="283"/>
      <c r="C78" s="70"/>
      <c r="D78" s="71"/>
      <c r="E78" s="71"/>
      <c r="F78" s="72"/>
      <c r="G78" s="72"/>
      <c r="H78" s="70" t="s">
        <v>188</v>
      </c>
      <c r="I78" s="73" t="s">
        <v>19</v>
      </c>
      <c r="J78" s="74">
        <v>312</v>
      </c>
      <c r="K78" s="113">
        <v>782</v>
      </c>
      <c r="L78" s="76" t="s">
        <v>189</v>
      </c>
      <c r="M78" s="76" t="s">
        <v>15</v>
      </c>
      <c r="N78" s="76" t="s">
        <v>190</v>
      </c>
      <c r="O78" s="76" t="s">
        <v>15</v>
      </c>
      <c r="P78" s="70" t="s">
        <v>191</v>
      </c>
      <c r="Q78" s="77"/>
    </row>
    <row r="79" spans="1:17" ht="48" thickBot="1" x14ac:dyDescent="0.3">
      <c r="A79" s="45" t="s">
        <v>192</v>
      </c>
      <c r="B79" s="46" t="s">
        <v>193</v>
      </c>
      <c r="C79" s="47"/>
      <c r="D79" s="48">
        <f>SUM(D80:D80)</f>
        <v>4918.8999999999996</v>
      </c>
      <c r="E79" s="48">
        <f>SUM(E80:E80)</f>
        <v>2879.9000000000005</v>
      </c>
      <c r="F79" s="48">
        <f>SUM(F80:F80)</f>
        <v>2038.9000000000003</v>
      </c>
      <c r="G79" s="49">
        <f>SUM(E79/D79)</f>
        <v>0.58547642765659003</v>
      </c>
      <c r="H79" s="47" t="s">
        <v>194</v>
      </c>
      <c r="I79" s="50" t="s">
        <v>14</v>
      </c>
      <c r="J79" s="51">
        <v>3</v>
      </c>
      <c r="K79" s="50">
        <v>0</v>
      </c>
      <c r="L79" s="47"/>
      <c r="M79" s="47"/>
      <c r="N79" s="47"/>
      <c r="O79" s="47"/>
      <c r="P79" s="230"/>
      <c r="Q79" s="231"/>
    </row>
    <row r="80" spans="1:17" ht="63.75" thickBot="1" x14ac:dyDescent="0.3">
      <c r="A80" s="53" t="s">
        <v>195</v>
      </c>
      <c r="B80" s="54" t="s">
        <v>196</v>
      </c>
      <c r="C80" s="55"/>
      <c r="D80" s="56">
        <f>D81+D83+D87+D88+D89+D90+D92</f>
        <v>4918.8999999999996</v>
      </c>
      <c r="E80" s="56">
        <f>E81+E83+E87+E88+E89+E90+E92</f>
        <v>2879.9000000000005</v>
      </c>
      <c r="F80" s="56">
        <f>F81+F83+F87+F88+F89+F90+F92-0.1</f>
        <v>2038.9000000000003</v>
      </c>
      <c r="G80" s="57">
        <f>SUM(E80/D80)</f>
        <v>0.58547642765659003</v>
      </c>
      <c r="H80" s="55"/>
      <c r="I80" s="58"/>
      <c r="J80" s="59"/>
      <c r="K80" s="59"/>
      <c r="L80" s="60"/>
      <c r="M80" s="60"/>
      <c r="N80" s="60"/>
      <c r="O80" s="60"/>
      <c r="P80" s="210"/>
      <c r="Q80" s="211"/>
    </row>
    <row r="81" spans="1:17" ht="65.25" customHeight="1" x14ac:dyDescent="0.25">
      <c r="A81" s="280" t="s">
        <v>197</v>
      </c>
      <c r="B81" s="282" t="s">
        <v>198</v>
      </c>
      <c r="C81" s="61"/>
      <c r="D81" s="62">
        <f>SUM(D82:D82)</f>
        <v>0.5</v>
      </c>
      <c r="E81" s="62"/>
      <c r="F81" s="63">
        <f>SUM(F82:F82)</f>
        <v>0.5</v>
      </c>
      <c r="G81" s="63"/>
      <c r="H81" s="212" t="s">
        <v>199</v>
      </c>
      <c r="I81" s="215" t="s">
        <v>19</v>
      </c>
      <c r="J81" s="218">
        <v>1</v>
      </c>
      <c r="K81" s="297">
        <v>0</v>
      </c>
      <c r="L81" s="68"/>
      <c r="M81" s="68"/>
      <c r="N81" s="68"/>
      <c r="O81" s="68"/>
      <c r="P81" s="212" t="s">
        <v>200</v>
      </c>
      <c r="Q81" s="227" t="s">
        <v>1842</v>
      </c>
    </row>
    <row r="82" spans="1:17" ht="60" customHeight="1" thickBot="1" x14ac:dyDescent="0.3">
      <c r="A82" s="281"/>
      <c r="B82" s="283"/>
      <c r="C82" s="70" t="s">
        <v>37</v>
      </c>
      <c r="D82" s="71">
        <v>0.5</v>
      </c>
      <c r="E82" s="71"/>
      <c r="F82" s="72">
        <v>0.5</v>
      </c>
      <c r="G82" s="72"/>
      <c r="H82" s="214"/>
      <c r="I82" s="217"/>
      <c r="J82" s="220"/>
      <c r="K82" s="299"/>
      <c r="L82" s="76"/>
      <c r="M82" s="76"/>
      <c r="N82" s="76"/>
      <c r="O82" s="76"/>
      <c r="P82" s="214"/>
      <c r="Q82" s="229"/>
    </row>
    <row r="83" spans="1:17" ht="128.25" customHeight="1" x14ac:dyDescent="0.25">
      <c r="A83" s="280" t="s">
        <v>201</v>
      </c>
      <c r="B83" s="282" t="s">
        <v>202</v>
      </c>
      <c r="C83" s="61"/>
      <c r="D83" s="62">
        <f>SUM(D84:D86)</f>
        <v>3719.5</v>
      </c>
      <c r="E83" s="62">
        <f>SUM(E84:E86)-0.1</f>
        <v>1669.0000000000002</v>
      </c>
      <c r="F83" s="63">
        <f>SUM(F84:F86)+0.1</f>
        <v>2050.5</v>
      </c>
      <c r="G83" s="79">
        <f>SUM(E83/D83)</f>
        <v>0.44871622529909938</v>
      </c>
      <c r="H83" s="212" t="s">
        <v>203</v>
      </c>
      <c r="I83" s="215" t="s">
        <v>14</v>
      </c>
      <c r="J83" s="218">
        <v>100</v>
      </c>
      <c r="K83" s="221">
        <v>98</v>
      </c>
      <c r="L83" s="68"/>
      <c r="M83" s="68"/>
      <c r="N83" s="68"/>
      <c r="O83" s="68"/>
      <c r="P83" s="212" t="s">
        <v>1605</v>
      </c>
      <c r="Q83" s="227" t="s">
        <v>1843</v>
      </c>
    </row>
    <row r="84" spans="1:17" ht="29.25" customHeight="1" x14ac:dyDescent="0.25">
      <c r="A84" s="284"/>
      <c r="B84" s="324"/>
      <c r="C84" s="70" t="s">
        <v>204</v>
      </c>
      <c r="D84" s="71">
        <v>1605.6</v>
      </c>
      <c r="E84" s="71">
        <v>422.6</v>
      </c>
      <c r="F84" s="72">
        <v>1183</v>
      </c>
      <c r="G84" s="80">
        <f>SUM(E84/D84)</f>
        <v>0.26320378674638767</v>
      </c>
      <c r="H84" s="213"/>
      <c r="I84" s="216"/>
      <c r="J84" s="219"/>
      <c r="K84" s="222"/>
      <c r="L84" s="76"/>
      <c r="M84" s="76"/>
      <c r="N84" s="76"/>
      <c r="O84" s="76"/>
      <c r="P84" s="213"/>
      <c r="Q84" s="228"/>
    </row>
    <row r="85" spans="1:17" ht="45.75" customHeight="1" x14ac:dyDescent="0.25">
      <c r="A85" s="284"/>
      <c r="B85" s="324"/>
      <c r="C85" s="70" t="s">
        <v>37</v>
      </c>
      <c r="D85" s="71">
        <v>1494.9</v>
      </c>
      <c r="E85" s="71">
        <v>1006.8</v>
      </c>
      <c r="F85" s="72">
        <v>488.1</v>
      </c>
      <c r="G85" s="80">
        <f>SUM(E85/D85)</f>
        <v>0.67348986554284562</v>
      </c>
      <c r="H85" s="213"/>
      <c r="I85" s="216"/>
      <c r="J85" s="219"/>
      <c r="K85" s="222"/>
      <c r="L85" s="76"/>
      <c r="M85" s="76"/>
      <c r="N85" s="76"/>
      <c r="O85" s="76"/>
      <c r="P85" s="213"/>
      <c r="Q85" s="228"/>
    </row>
    <row r="86" spans="1:17" ht="43.5" customHeight="1" thickBot="1" x14ac:dyDescent="0.3">
      <c r="A86" s="281"/>
      <c r="B86" s="283"/>
      <c r="C86" s="70" t="s">
        <v>27</v>
      </c>
      <c r="D86" s="71">
        <v>619</v>
      </c>
      <c r="E86" s="71">
        <v>239.7</v>
      </c>
      <c r="F86" s="72">
        <v>379.3</v>
      </c>
      <c r="G86" s="91">
        <f>SUM(E86/D86)</f>
        <v>0.38723747980613893</v>
      </c>
      <c r="H86" s="214"/>
      <c r="I86" s="217"/>
      <c r="J86" s="220"/>
      <c r="K86" s="223"/>
      <c r="L86" s="76"/>
      <c r="M86" s="76"/>
      <c r="N86" s="76"/>
      <c r="O86" s="76"/>
      <c r="P86" s="214"/>
      <c r="Q86" s="229"/>
    </row>
    <row r="87" spans="1:17" ht="168.75" hidden="1" customHeight="1" thickBot="1" x14ac:dyDescent="0.3">
      <c r="A87" s="93" t="s">
        <v>205</v>
      </c>
      <c r="B87" s="94" t="s">
        <v>206</v>
      </c>
      <c r="C87" s="61" t="s">
        <v>27</v>
      </c>
      <c r="D87" s="95"/>
      <c r="E87" s="95"/>
      <c r="F87" s="96"/>
      <c r="G87" s="96"/>
      <c r="H87" s="61" t="s">
        <v>203</v>
      </c>
      <c r="I87" s="65" t="s">
        <v>14</v>
      </c>
      <c r="J87" s="98"/>
      <c r="K87" s="98"/>
      <c r="L87" s="68" t="s">
        <v>20</v>
      </c>
      <c r="M87" s="68" t="s">
        <v>15</v>
      </c>
      <c r="N87" s="68" t="s">
        <v>54</v>
      </c>
      <c r="O87" s="68" t="s">
        <v>15</v>
      </c>
      <c r="P87" s="61"/>
      <c r="Q87" s="69"/>
    </row>
    <row r="88" spans="1:17" ht="79.5" hidden="1" thickBot="1" x14ac:dyDescent="0.3">
      <c r="A88" s="93" t="s">
        <v>207</v>
      </c>
      <c r="B88" s="94" t="s">
        <v>208</v>
      </c>
      <c r="C88" s="61" t="s">
        <v>27</v>
      </c>
      <c r="D88" s="95"/>
      <c r="E88" s="95"/>
      <c r="F88" s="96"/>
      <c r="G88" s="96"/>
      <c r="H88" s="61" t="s">
        <v>203</v>
      </c>
      <c r="I88" s="65" t="s">
        <v>14</v>
      </c>
      <c r="J88" s="98"/>
      <c r="K88" s="98"/>
      <c r="L88" s="68" t="s">
        <v>54</v>
      </c>
      <c r="M88" s="68" t="s">
        <v>15</v>
      </c>
      <c r="N88" s="68"/>
      <c r="O88" s="68"/>
      <c r="P88" s="61"/>
      <c r="Q88" s="69"/>
    </row>
    <row r="89" spans="1:17" ht="0.75" customHeight="1" thickBot="1" x14ac:dyDescent="0.3">
      <c r="A89" s="93" t="s">
        <v>209</v>
      </c>
      <c r="B89" s="94" t="s">
        <v>210</v>
      </c>
      <c r="C89" s="61" t="s">
        <v>27</v>
      </c>
      <c r="D89" s="95"/>
      <c r="E89" s="95"/>
      <c r="F89" s="96"/>
      <c r="G89" s="96"/>
      <c r="H89" s="61" t="s">
        <v>203</v>
      </c>
      <c r="I89" s="65" t="s">
        <v>14</v>
      </c>
      <c r="J89" s="98"/>
      <c r="K89" s="98"/>
      <c r="L89" s="68" t="s">
        <v>211</v>
      </c>
      <c r="M89" s="68" t="s">
        <v>15</v>
      </c>
      <c r="N89" s="68" t="s">
        <v>54</v>
      </c>
      <c r="O89" s="68" t="s">
        <v>15</v>
      </c>
      <c r="P89" s="61"/>
      <c r="Q89" s="69"/>
    </row>
    <row r="90" spans="1:17" ht="98.25" customHeight="1" x14ac:dyDescent="0.25">
      <c r="A90" s="280" t="s">
        <v>212</v>
      </c>
      <c r="B90" s="282" t="s">
        <v>213</v>
      </c>
      <c r="C90" s="61"/>
      <c r="D90" s="62">
        <f>SUM(D91:D91)</f>
        <v>50</v>
      </c>
      <c r="E90" s="62">
        <f>SUM(E91:E91)</f>
        <v>23.7</v>
      </c>
      <c r="F90" s="63">
        <f>SUM(F91:F91)</f>
        <v>26.3</v>
      </c>
      <c r="G90" s="64">
        <f t="shared" ref="G90:G95" si="4">SUM(E90/D90)</f>
        <v>0.47399999999999998</v>
      </c>
      <c r="H90" s="212" t="s">
        <v>214</v>
      </c>
      <c r="I90" s="215" t="s">
        <v>14</v>
      </c>
      <c r="J90" s="218">
        <v>100</v>
      </c>
      <c r="K90" s="370">
        <v>100</v>
      </c>
      <c r="L90" s="68"/>
      <c r="M90" s="68"/>
      <c r="N90" s="68"/>
      <c r="O90" s="68"/>
      <c r="P90" s="212" t="s">
        <v>1606</v>
      </c>
      <c r="Q90" s="227" t="s">
        <v>1844</v>
      </c>
    </row>
    <row r="91" spans="1:17" ht="39" customHeight="1" thickBot="1" x14ac:dyDescent="0.3">
      <c r="A91" s="281"/>
      <c r="B91" s="283"/>
      <c r="C91" s="70" t="s">
        <v>27</v>
      </c>
      <c r="D91" s="71">
        <v>50</v>
      </c>
      <c r="E91" s="71">
        <v>23.7</v>
      </c>
      <c r="F91" s="72">
        <v>26.3</v>
      </c>
      <c r="G91" s="91">
        <f t="shared" si="4"/>
        <v>0.47399999999999998</v>
      </c>
      <c r="H91" s="214"/>
      <c r="I91" s="217"/>
      <c r="J91" s="220"/>
      <c r="K91" s="327"/>
      <c r="L91" s="76"/>
      <c r="M91" s="76"/>
      <c r="N91" s="76"/>
      <c r="O91" s="76"/>
      <c r="P91" s="214"/>
      <c r="Q91" s="229"/>
    </row>
    <row r="92" spans="1:17" ht="159" customHeight="1" x14ac:dyDescent="0.25">
      <c r="A92" s="280" t="s">
        <v>215</v>
      </c>
      <c r="B92" s="282" t="s">
        <v>216</v>
      </c>
      <c r="C92" s="61"/>
      <c r="D92" s="62">
        <f>SUM(D93:D94)</f>
        <v>1148.9000000000001</v>
      </c>
      <c r="E92" s="62">
        <f>SUM(E93:E94)</f>
        <v>1187.2</v>
      </c>
      <c r="F92" s="63">
        <f>SUM(F93:F94)</f>
        <v>-38.299999999999997</v>
      </c>
      <c r="G92" s="79">
        <f t="shared" si="4"/>
        <v>1.0333362346592392</v>
      </c>
      <c r="H92" s="212" t="s">
        <v>217</v>
      </c>
      <c r="I92" s="215" t="s">
        <v>14</v>
      </c>
      <c r="J92" s="218">
        <v>100</v>
      </c>
      <c r="K92" s="243">
        <v>100</v>
      </c>
      <c r="L92" s="68"/>
      <c r="M92" s="68"/>
      <c r="N92" s="68"/>
      <c r="O92" s="68"/>
      <c r="P92" s="212" t="s">
        <v>218</v>
      </c>
      <c r="Q92" s="227" t="s">
        <v>1607</v>
      </c>
    </row>
    <row r="93" spans="1:17" ht="33" customHeight="1" x14ac:dyDescent="0.25">
      <c r="A93" s="284"/>
      <c r="B93" s="324"/>
      <c r="C93" s="70" t="s">
        <v>204</v>
      </c>
      <c r="D93" s="71">
        <v>357.2</v>
      </c>
      <c r="E93" s="71">
        <v>395.5</v>
      </c>
      <c r="F93" s="72">
        <v>-38.299999999999997</v>
      </c>
      <c r="G93" s="80">
        <f t="shared" si="4"/>
        <v>1.1072228443449048</v>
      </c>
      <c r="H93" s="213"/>
      <c r="I93" s="216"/>
      <c r="J93" s="219"/>
      <c r="K93" s="244"/>
      <c r="L93" s="76"/>
      <c r="M93" s="76"/>
      <c r="N93" s="76"/>
      <c r="O93" s="76"/>
      <c r="P93" s="213"/>
      <c r="Q93" s="228"/>
    </row>
    <row r="94" spans="1:17" ht="36" customHeight="1" thickBot="1" x14ac:dyDescent="0.3">
      <c r="A94" s="281"/>
      <c r="B94" s="283"/>
      <c r="C94" s="70" t="s">
        <v>27</v>
      </c>
      <c r="D94" s="71">
        <v>791.7</v>
      </c>
      <c r="E94" s="71">
        <v>791.7</v>
      </c>
      <c r="F94" s="72"/>
      <c r="G94" s="91">
        <f t="shared" si="4"/>
        <v>1</v>
      </c>
      <c r="H94" s="214"/>
      <c r="I94" s="217"/>
      <c r="J94" s="220"/>
      <c r="K94" s="245"/>
      <c r="L94" s="76"/>
      <c r="M94" s="76"/>
      <c r="N94" s="76"/>
      <c r="O94" s="76"/>
      <c r="P94" s="214"/>
      <c r="Q94" s="229"/>
    </row>
    <row r="95" spans="1:17" ht="80.25" customHeight="1" x14ac:dyDescent="0.25">
      <c r="A95" s="254" t="s">
        <v>219</v>
      </c>
      <c r="B95" s="256" t="s">
        <v>220</v>
      </c>
      <c r="C95" s="258"/>
      <c r="D95" s="260">
        <f>D96+D97+D111</f>
        <v>511.8</v>
      </c>
      <c r="E95" s="260">
        <f>E96+E97+E111</f>
        <v>274.39999999999998</v>
      </c>
      <c r="F95" s="260">
        <f>F96+F97+F111</f>
        <v>237.39999999999998</v>
      </c>
      <c r="G95" s="273">
        <f t="shared" si="4"/>
        <v>0.53614693239546696</v>
      </c>
      <c r="H95" s="47" t="s">
        <v>194</v>
      </c>
      <c r="I95" s="50" t="s">
        <v>14</v>
      </c>
      <c r="J95" s="51">
        <v>3</v>
      </c>
      <c r="K95" s="50">
        <v>-3.3</v>
      </c>
      <c r="L95" s="47"/>
      <c r="M95" s="47"/>
      <c r="N95" s="47"/>
      <c r="O95" s="47"/>
      <c r="P95" s="371"/>
      <c r="Q95" s="372"/>
    </row>
    <row r="96" spans="1:17" ht="79.5" thickBot="1" x14ac:dyDescent="0.3">
      <c r="A96" s="255"/>
      <c r="B96" s="257"/>
      <c r="C96" s="259"/>
      <c r="D96" s="261"/>
      <c r="E96" s="261"/>
      <c r="F96" s="261"/>
      <c r="G96" s="275"/>
      <c r="H96" s="105" t="s">
        <v>221</v>
      </c>
      <c r="I96" s="107" t="s">
        <v>19</v>
      </c>
      <c r="J96" s="108">
        <v>6</v>
      </c>
      <c r="K96" s="107">
        <v>6</v>
      </c>
      <c r="L96" s="105"/>
      <c r="M96" s="105"/>
      <c r="N96" s="105"/>
      <c r="O96" s="105"/>
      <c r="P96" s="368"/>
      <c r="Q96" s="369"/>
    </row>
    <row r="97" spans="1:17" ht="32.25" thickBot="1" x14ac:dyDescent="0.3">
      <c r="A97" s="53" t="s">
        <v>222</v>
      </c>
      <c r="B97" s="54" t="s">
        <v>223</v>
      </c>
      <c r="C97" s="55"/>
      <c r="D97" s="56">
        <f>D98+D102+D103+D106+D109</f>
        <v>504.8</v>
      </c>
      <c r="E97" s="56">
        <f>E98+E102+E103+E106+E109</f>
        <v>267.39999999999998</v>
      </c>
      <c r="F97" s="56">
        <f>F98+F102+F103+F106+F109</f>
        <v>237.39999999999998</v>
      </c>
      <c r="G97" s="57">
        <f>SUM(E97/D97)</f>
        <v>0.52971473851030104</v>
      </c>
      <c r="H97" s="55"/>
      <c r="I97" s="58"/>
      <c r="J97" s="59"/>
      <c r="K97" s="59"/>
      <c r="L97" s="60"/>
      <c r="M97" s="60"/>
      <c r="N97" s="60"/>
      <c r="O97" s="60"/>
      <c r="P97" s="55"/>
      <c r="Q97" s="119"/>
    </row>
    <row r="98" spans="1:17" ht="63.75" customHeight="1" x14ac:dyDescent="0.25">
      <c r="A98" s="280" t="s">
        <v>224</v>
      </c>
      <c r="B98" s="282" t="s">
        <v>225</v>
      </c>
      <c r="C98" s="61"/>
      <c r="D98" s="62">
        <f>SUM(D99:D101)</f>
        <v>211.4</v>
      </c>
      <c r="E98" s="62">
        <f>SUM(E99:E101)</f>
        <v>198.79999999999998</v>
      </c>
      <c r="F98" s="63">
        <f>SUM(F99:F101)</f>
        <v>12.6</v>
      </c>
      <c r="G98" s="79">
        <f>SUM(E98/D98)</f>
        <v>0.9403973509933774</v>
      </c>
      <c r="H98" s="212" t="s">
        <v>226</v>
      </c>
      <c r="I98" s="215" t="s">
        <v>19</v>
      </c>
      <c r="J98" s="218">
        <v>35</v>
      </c>
      <c r="K98" s="243">
        <v>35</v>
      </c>
      <c r="L98" s="68" t="s">
        <v>42</v>
      </c>
      <c r="M98" s="68" t="s">
        <v>15</v>
      </c>
      <c r="N98" s="68"/>
      <c r="O98" s="68"/>
      <c r="P98" s="212" t="s">
        <v>228</v>
      </c>
      <c r="Q98" s="227" t="s">
        <v>1776</v>
      </c>
    </row>
    <row r="99" spans="1:17" ht="15.75" x14ac:dyDescent="0.25">
      <c r="A99" s="284"/>
      <c r="B99" s="324"/>
      <c r="C99" s="70" t="s">
        <v>27</v>
      </c>
      <c r="D99" s="71">
        <v>3.6</v>
      </c>
      <c r="E99" s="71">
        <v>0.1</v>
      </c>
      <c r="F99" s="72">
        <v>3.5</v>
      </c>
      <c r="G99" s="80">
        <f>SUM(E99/D99)</f>
        <v>2.777777777777778E-2</v>
      </c>
      <c r="H99" s="213"/>
      <c r="I99" s="216"/>
      <c r="J99" s="219"/>
      <c r="K99" s="244"/>
      <c r="L99" s="76"/>
      <c r="M99" s="76"/>
      <c r="N99" s="76"/>
      <c r="O99" s="76"/>
      <c r="P99" s="213"/>
      <c r="Q99" s="228"/>
    </row>
    <row r="100" spans="1:17" ht="25.5" customHeight="1" x14ac:dyDescent="0.25">
      <c r="A100" s="284"/>
      <c r="B100" s="324"/>
      <c r="C100" s="70" t="s">
        <v>229</v>
      </c>
      <c r="D100" s="71">
        <v>194.8</v>
      </c>
      <c r="E100" s="71">
        <v>193.2</v>
      </c>
      <c r="F100" s="72">
        <v>1.6</v>
      </c>
      <c r="G100" s="80">
        <f>SUM(E100/D100)</f>
        <v>0.99178644763860357</v>
      </c>
      <c r="H100" s="213"/>
      <c r="I100" s="216"/>
      <c r="J100" s="219"/>
      <c r="K100" s="244"/>
      <c r="L100" s="76"/>
      <c r="M100" s="76"/>
      <c r="N100" s="76"/>
      <c r="O100" s="76"/>
      <c r="P100" s="213"/>
      <c r="Q100" s="228"/>
    </row>
    <row r="101" spans="1:17" ht="35.25" customHeight="1" thickBot="1" x14ac:dyDescent="0.3">
      <c r="A101" s="281"/>
      <c r="B101" s="283"/>
      <c r="C101" s="70" t="s">
        <v>37</v>
      </c>
      <c r="D101" s="71">
        <v>13</v>
      </c>
      <c r="E101" s="71">
        <v>5.5</v>
      </c>
      <c r="F101" s="72">
        <v>7.5</v>
      </c>
      <c r="G101" s="91">
        <f>SUM(E101/D101)</f>
        <v>0.42307692307692307</v>
      </c>
      <c r="H101" s="214"/>
      <c r="I101" s="217"/>
      <c r="J101" s="220"/>
      <c r="K101" s="245"/>
      <c r="L101" s="76"/>
      <c r="M101" s="76"/>
      <c r="N101" s="76"/>
      <c r="O101" s="76"/>
      <c r="P101" s="214"/>
      <c r="Q101" s="229"/>
    </row>
    <row r="102" spans="1:17" ht="9.75" hidden="1" customHeight="1" thickBot="1" x14ac:dyDescent="0.3">
      <c r="A102" s="93" t="s">
        <v>230</v>
      </c>
      <c r="B102" s="94" t="s">
        <v>231</v>
      </c>
      <c r="C102" s="61"/>
      <c r="D102" s="95"/>
      <c r="E102" s="95"/>
      <c r="F102" s="96"/>
      <c r="G102" s="96"/>
      <c r="H102" s="61"/>
      <c r="I102" s="65"/>
      <c r="J102" s="98"/>
      <c r="K102" s="98"/>
      <c r="L102" s="68"/>
      <c r="M102" s="68"/>
      <c r="N102" s="68"/>
      <c r="O102" s="68"/>
      <c r="P102" s="61"/>
      <c r="Q102" s="69"/>
    </row>
    <row r="103" spans="1:17" ht="111.75" customHeight="1" x14ac:dyDescent="0.25">
      <c r="A103" s="280" t="s">
        <v>232</v>
      </c>
      <c r="B103" s="282" t="s">
        <v>233</v>
      </c>
      <c r="C103" s="61"/>
      <c r="D103" s="62">
        <f>SUM(D104:D105)</f>
        <v>104.6</v>
      </c>
      <c r="E103" s="62">
        <f>SUM(E104:E105)</f>
        <v>29.4</v>
      </c>
      <c r="F103" s="63">
        <f>SUM(F104:F105)</f>
        <v>75.2</v>
      </c>
      <c r="G103" s="79">
        <f t="shared" ref="G103:G109" si="5">SUM(E103/D103)</f>
        <v>0.28107074569789675</v>
      </c>
      <c r="H103" s="212" t="s">
        <v>234</v>
      </c>
      <c r="I103" s="215" t="s">
        <v>14</v>
      </c>
      <c r="J103" s="218">
        <v>40</v>
      </c>
      <c r="K103" s="221">
        <v>23</v>
      </c>
      <c r="L103" s="68" t="s">
        <v>54</v>
      </c>
      <c r="M103" s="68" t="s">
        <v>15</v>
      </c>
      <c r="N103" s="68"/>
      <c r="O103" s="68"/>
      <c r="P103" s="212" t="s">
        <v>1608</v>
      </c>
      <c r="Q103" s="262" t="s">
        <v>1609</v>
      </c>
    </row>
    <row r="104" spans="1:17" ht="55.5" customHeight="1" x14ac:dyDescent="0.25">
      <c r="A104" s="284"/>
      <c r="B104" s="324"/>
      <c r="C104" s="70" t="s">
        <v>27</v>
      </c>
      <c r="D104" s="71">
        <v>85.5</v>
      </c>
      <c r="E104" s="71">
        <v>14.2</v>
      </c>
      <c r="F104" s="72">
        <v>71.3</v>
      </c>
      <c r="G104" s="80">
        <f t="shared" si="5"/>
        <v>0.16608187134502922</v>
      </c>
      <c r="H104" s="213"/>
      <c r="I104" s="216"/>
      <c r="J104" s="219"/>
      <c r="K104" s="222"/>
      <c r="L104" s="76"/>
      <c r="M104" s="76"/>
      <c r="N104" s="76"/>
      <c r="O104" s="76"/>
      <c r="P104" s="213"/>
      <c r="Q104" s="264"/>
    </row>
    <row r="105" spans="1:17" ht="68.25" customHeight="1" thickBot="1" x14ac:dyDescent="0.3">
      <c r="A105" s="281"/>
      <c r="B105" s="283"/>
      <c r="C105" s="70" t="s">
        <v>37</v>
      </c>
      <c r="D105" s="71">
        <v>19.100000000000001</v>
      </c>
      <c r="E105" s="71">
        <v>15.2</v>
      </c>
      <c r="F105" s="72">
        <v>3.9</v>
      </c>
      <c r="G105" s="91">
        <f t="shared" si="5"/>
        <v>0.79581151832460728</v>
      </c>
      <c r="H105" s="214"/>
      <c r="I105" s="217"/>
      <c r="J105" s="220"/>
      <c r="K105" s="223"/>
      <c r="L105" s="76"/>
      <c r="M105" s="76"/>
      <c r="N105" s="76"/>
      <c r="O105" s="76"/>
      <c r="P105" s="214"/>
      <c r="Q105" s="263"/>
    </row>
    <row r="106" spans="1:17" ht="90.75" customHeight="1" x14ac:dyDescent="0.25">
      <c r="A106" s="280" t="s">
        <v>235</v>
      </c>
      <c r="B106" s="282" t="s">
        <v>236</v>
      </c>
      <c r="C106" s="61"/>
      <c r="D106" s="62">
        <f>SUM(D107:D108)</f>
        <v>177.3</v>
      </c>
      <c r="E106" s="62">
        <f>SUM(E107:E108)</f>
        <v>27.700000000000003</v>
      </c>
      <c r="F106" s="63">
        <f>SUM(F107:F108)</f>
        <v>149.6</v>
      </c>
      <c r="G106" s="79">
        <f t="shared" si="5"/>
        <v>0.15623237450648619</v>
      </c>
      <c r="H106" s="212" t="s">
        <v>234</v>
      </c>
      <c r="I106" s="215" t="s">
        <v>14</v>
      </c>
      <c r="J106" s="218">
        <v>40</v>
      </c>
      <c r="K106" s="342">
        <v>11</v>
      </c>
      <c r="L106" s="68" t="s">
        <v>54</v>
      </c>
      <c r="M106" s="68" t="s">
        <v>15</v>
      </c>
      <c r="N106" s="68"/>
      <c r="O106" s="68"/>
      <c r="P106" s="212" t="s">
        <v>1610</v>
      </c>
      <c r="Q106" s="227" t="s">
        <v>1845</v>
      </c>
    </row>
    <row r="107" spans="1:17" ht="37.5" customHeight="1" x14ac:dyDescent="0.25">
      <c r="A107" s="284"/>
      <c r="B107" s="324"/>
      <c r="C107" s="70" t="s">
        <v>27</v>
      </c>
      <c r="D107" s="71">
        <v>162.80000000000001</v>
      </c>
      <c r="E107" s="71">
        <v>27.6</v>
      </c>
      <c r="F107" s="72">
        <v>135.19999999999999</v>
      </c>
      <c r="G107" s="80">
        <f t="shared" si="5"/>
        <v>0.16953316953316952</v>
      </c>
      <c r="H107" s="213"/>
      <c r="I107" s="216"/>
      <c r="J107" s="219"/>
      <c r="K107" s="343"/>
      <c r="L107" s="76"/>
      <c r="M107" s="76"/>
      <c r="N107" s="76"/>
      <c r="O107" s="76"/>
      <c r="P107" s="213"/>
      <c r="Q107" s="228"/>
    </row>
    <row r="108" spans="1:17" ht="40.5" customHeight="1" thickBot="1" x14ac:dyDescent="0.3">
      <c r="A108" s="281"/>
      <c r="B108" s="283"/>
      <c r="C108" s="70" t="s">
        <v>37</v>
      </c>
      <c r="D108" s="71">
        <v>14.5</v>
      </c>
      <c r="E108" s="71">
        <v>0.1</v>
      </c>
      <c r="F108" s="72">
        <v>14.4</v>
      </c>
      <c r="G108" s="91">
        <f t="shared" si="5"/>
        <v>6.8965517241379318E-3</v>
      </c>
      <c r="H108" s="214"/>
      <c r="I108" s="217"/>
      <c r="J108" s="220"/>
      <c r="K108" s="344"/>
      <c r="L108" s="76"/>
      <c r="M108" s="76"/>
      <c r="N108" s="76"/>
      <c r="O108" s="76"/>
      <c r="P108" s="214"/>
      <c r="Q108" s="229"/>
    </row>
    <row r="109" spans="1:17" ht="139.5" customHeight="1" x14ac:dyDescent="0.25">
      <c r="A109" s="280" t="s">
        <v>237</v>
      </c>
      <c r="B109" s="282" t="s">
        <v>79</v>
      </c>
      <c r="C109" s="61" t="s">
        <v>27</v>
      </c>
      <c r="D109" s="62">
        <f>SUM(D110:D110)+11.5</f>
        <v>11.5</v>
      </c>
      <c r="E109" s="62">
        <f>SUM(E110:E110)+11.5</f>
        <v>11.5</v>
      </c>
      <c r="F109" s="63"/>
      <c r="G109" s="79">
        <f t="shared" si="5"/>
        <v>1</v>
      </c>
      <c r="H109" s="61" t="s">
        <v>238</v>
      </c>
      <c r="I109" s="65" t="s">
        <v>19</v>
      </c>
      <c r="J109" s="66">
        <v>1</v>
      </c>
      <c r="K109" s="89">
        <v>1</v>
      </c>
      <c r="L109" s="68" t="s">
        <v>29</v>
      </c>
      <c r="M109" s="68" t="s">
        <v>15</v>
      </c>
      <c r="N109" s="68" t="s">
        <v>29</v>
      </c>
      <c r="O109" s="68" t="s">
        <v>15</v>
      </c>
      <c r="P109" s="61" t="s">
        <v>1611</v>
      </c>
      <c r="Q109" s="69"/>
    </row>
    <row r="110" spans="1:17" ht="293.25" customHeight="1" thickBot="1" x14ac:dyDescent="0.3">
      <c r="A110" s="281"/>
      <c r="B110" s="283"/>
      <c r="C110" s="70"/>
      <c r="D110" s="71"/>
      <c r="E110" s="71"/>
      <c r="F110" s="72"/>
      <c r="G110" s="72"/>
      <c r="H110" s="70" t="s">
        <v>239</v>
      </c>
      <c r="I110" s="73" t="s">
        <v>19</v>
      </c>
      <c r="J110" s="74">
        <v>5</v>
      </c>
      <c r="K110" s="81">
        <v>5</v>
      </c>
      <c r="L110" s="76" t="s">
        <v>58</v>
      </c>
      <c r="M110" s="76" t="s">
        <v>15</v>
      </c>
      <c r="N110" s="76" t="s">
        <v>58</v>
      </c>
      <c r="O110" s="76" t="s">
        <v>15</v>
      </c>
      <c r="P110" s="70" t="s">
        <v>1612</v>
      </c>
      <c r="Q110" s="77"/>
    </row>
    <row r="111" spans="1:17" ht="63.75" thickBot="1" x14ac:dyDescent="0.3">
      <c r="A111" s="53" t="s">
        <v>240</v>
      </c>
      <c r="B111" s="54" t="s">
        <v>241</v>
      </c>
      <c r="C111" s="55"/>
      <c r="D111" s="56">
        <f>SUM(D112:D112)</f>
        <v>7</v>
      </c>
      <c r="E111" s="56">
        <f>SUM(E112:E112)</f>
        <v>7</v>
      </c>
      <c r="F111" s="56"/>
      <c r="G111" s="57">
        <f t="shared" ref="G111:G117" si="6">SUM(E111/D111)</f>
        <v>1</v>
      </c>
      <c r="H111" s="55"/>
      <c r="I111" s="58"/>
      <c r="J111" s="59"/>
      <c r="K111" s="59"/>
      <c r="L111" s="60"/>
      <c r="M111" s="60"/>
      <c r="N111" s="60"/>
      <c r="O111" s="60"/>
      <c r="P111" s="210"/>
      <c r="Q111" s="211"/>
    </row>
    <row r="112" spans="1:17" ht="213.75" customHeight="1" thickBot="1" x14ac:dyDescent="0.3">
      <c r="A112" s="93" t="s">
        <v>242</v>
      </c>
      <c r="B112" s="94" t="s">
        <v>243</v>
      </c>
      <c r="C112" s="61" t="s">
        <v>27</v>
      </c>
      <c r="D112" s="95">
        <v>7</v>
      </c>
      <c r="E112" s="95">
        <v>7</v>
      </c>
      <c r="F112" s="96"/>
      <c r="G112" s="79">
        <f t="shared" si="6"/>
        <v>1</v>
      </c>
      <c r="H112" s="61" t="s">
        <v>244</v>
      </c>
      <c r="I112" s="65" t="s">
        <v>19</v>
      </c>
      <c r="J112" s="66">
        <v>6</v>
      </c>
      <c r="K112" s="89">
        <v>6</v>
      </c>
      <c r="L112" s="68" t="s">
        <v>97</v>
      </c>
      <c r="M112" s="68" t="s">
        <v>15</v>
      </c>
      <c r="N112" s="68" t="s">
        <v>97</v>
      </c>
      <c r="O112" s="68" t="s">
        <v>15</v>
      </c>
      <c r="P112" s="61" t="s">
        <v>245</v>
      </c>
      <c r="Q112" s="69"/>
    </row>
    <row r="113" spans="1:21" ht="65.25" customHeight="1" thickBot="1" x14ac:dyDescent="0.3">
      <c r="A113" s="37" t="s">
        <v>246</v>
      </c>
      <c r="B113" s="38" t="s">
        <v>247</v>
      </c>
      <c r="C113" s="39"/>
      <c r="D113" s="40">
        <f>D114+D180</f>
        <v>6437.2</v>
      </c>
      <c r="E113" s="40">
        <f>E114+E180</f>
        <v>5576.7000000000007</v>
      </c>
      <c r="F113" s="40">
        <f>F114+F180</f>
        <v>860.5</v>
      </c>
      <c r="G113" s="41">
        <f t="shared" si="6"/>
        <v>0.86632386752003987</v>
      </c>
      <c r="H113" s="39"/>
      <c r="I113" s="42"/>
      <c r="J113" s="43"/>
      <c r="K113" s="103"/>
      <c r="L113" s="44"/>
      <c r="M113" s="44"/>
      <c r="N113" s="44"/>
      <c r="O113" s="44"/>
      <c r="P113" s="267"/>
      <c r="Q113" s="268"/>
    </row>
    <row r="114" spans="1:21" ht="135" customHeight="1" thickBot="1" x14ac:dyDescent="0.3">
      <c r="A114" s="45" t="s">
        <v>248</v>
      </c>
      <c r="B114" s="46" t="s">
        <v>249</v>
      </c>
      <c r="C114" s="47"/>
      <c r="D114" s="48">
        <f>D115+D127+D140+D148+D153+D165+D175+D178</f>
        <v>6422.2</v>
      </c>
      <c r="E114" s="48">
        <f>E115+E127+E140+E148+E153+E165+E175+E178</f>
        <v>5563.9000000000005</v>
      </c>
      <c r="F114" s="48">
        <f>F115+F127+F140+F148+F153+F165+F175+F178-0.1</f>
        <v>858.3</v>
      </c>
      <c r="G114" s="49">
        <f t="shared" si="6"/>
        <v>0.866354208838093</v>
      </c>
      <c r="H114" s="47" t="s">
        <v>250</v>
      </c>
      <c r="I114" s="50" t="s">
        <v>251</v>
      </c>
      <c r="J114" s="120">
        <v>38000</v>
      </c>
      <c r="K114" s="50">
        <v>38966</v>
      </c>
      <c r="L114" s="47"/>
      <c r="M114" s="47"/>
      <c r="N114" s="47"/>
      <c r="O114" s="47"/>
      <c r="P114" s="230"/>
      <c r="Q114" s="231"/>
      <c r="S114" s="3"/>
      <c r="T114" s="10" t="s">
        <v>1</v>
      </c>
      <c r="U114" s="10" t="s">
        <v>1551</v>
      </c>
    </row>
    <row r="115" spans="1:21" ht="63.75" thickBot="1" x14ac:dyDescent="0.3">
      <c r="A115" s="53" t="s">
        <v>253</v>
      </c>
      <c r="B115" s="54" t="s">
        <v>254</v>
      </c>
      <c r="C115" s="55"/>
      <c r="D115" s="56">
        <f>D116+D119+D122+D124</f>
        <v>4325.5</v>
      </c>
      <c r="E115" s="56">
        <f>E116+E119+E122+E124</f>
        <v>3942.7</v>
      </c>
      <c r="F115" s="56">
        <f>F116+F119+F122+F124</f>
        <v>382.8</v>
      </c>
      <c r="G115" s="57">
        <f t="shared" si="6"/>
        <v>0.91150156051323539</v>
      </c>
      <c r="H115" s="55"/>
      <c r="I115" s="58"/>
      <c r="J115" s="59"/>
      <c r="K115" s="59"/>
      <c r="L115" s="60"/>
      <c r="M115" s="60"/>
      <c r="N115" s="60"/>
      <c r="O115" s="60"/>
      <c r="P115" s="210"/>
      <c r="Q115" s="211"/>
      <c r="S115" s="7"/>
      <c r="T115" s="14" t="s">
        <v>1552</v>
      </c>
      <c r="U115" s="11">
        <v>8</v>
      </c>
    </row>
    <row r="116" spans="1:21" ht="63.75" customHeight="1" x14ac:dyDescent="0.25">
      <c r="A116" s="280" t="s">
        <v>255</v>
      </c>
      <c r="B116" s="282" t="s">
        <v>256</v>
      </c>
      <c r="C116" s="61"/>
      <c r="D116" s="62">
        <f>SUM(D117:D118)</f>
        <v>3932.2</v>
      </c>
      <c r="E116" s="62">
        <f>SUM(E117:E118)</f>
        <v>3932.2</v>
      </c>
      <c r="F116" s="63"/>
      <c r="G116" s="79">
        <f t="shared" si="6"/>
        <v>1</v>
      </c>
      <c r="H116" s="61" t="s">
        <v>257</v>
      </c>
      <c r="I116" s="65" t="s">
        <v>251</v>
      </c>
      <c r="J116" s="121">
        <v>38000</v>
      </c>
      <c r="K116" s="122">
        <v>38965.79</v>
      </c>
      <c r="L116" s="68" t="s">
        <v>252</v>
      </c>
      <c r="M116" s="68" t="s">
        <v>15</v>
      </c>
      <c r="N116" s="68" t="s">
        <v>252</v>
      </c>
      <c r="O116" s="68" t="s">
        <v>15</v>
      </c>
      <c r="P116" s="61" t="s">
        <v>258</v>
      </c>
      <c r="Q116" s="90"/>
      <c r="S116" s="4"/>
      <c r="T116" s="14" t="s">
        <v>1556</v>
      </c>
      <c r="U116" s="11">
        <v>1</v>
      </c>
    </row>
    <row r="117" spans="1:21" ht="66" customHeight="1" x14ac:dyDescent="0.25">
      <c r="A117" s="284"/>
      <c r="B117" s="324"/>
      <c r="C117" s="70" t="s">
        <v>27</v>
      </c>
      <c r="D117" s="71">
        <v>3932.2</v>
      </c>
      <c r="E117" s="71">
        <v>3932.2</v>
      </c>
      <c r="F117" s="72"/>
      <c r="G117" s="80">
        <f t="shared" si="6"/>
        <v>1</v>
      </c>
      <c r="H117" s="70" t="s">
        <v>259</v>
      </c>
      <c r="I117" s="73" t="s">
        <v>19</v>
      </c>
      <c r="J117" s="74">
        <v>500</v>
      </c>
      <c r="K117" s="75">
        <v>0</v>
      </c>
      <c r="L117" s="76" t="s">
        <v>260</v>
      </c>
      <c r="M117" s="76" t="s">
        <v>15</v>
      </c>
      <c r="N117" s="76" t="s">
        <v>260</v>
      </c>
      <c r="O117" s="76" t="s">
        <v>15</v>
      </c>
      <c r="P117" s="123"/>
      <c r="Q117" s="124" t="s">
        <v>1567</v>
      </c>
      <c r="S117" s="6"/>
      <c r="T117" s="14" t="s">
        <v>1557</v>
      </c>
      <c r="U117" s="11">
        <v>5</v>
      </c>
    </row>
    <row r="118" spans="1:21" ht="142.5" customHeight="1" thickBot="1" x14ac:dyDescent="0.3">
      <c r="A118" s="281"/>
      <c r="B118" s="283"/>
      <c r="C118" s="70"/>
      <c r="D118" s="71"/>
      <c r="E118" s="71"/>
      <c r="F118" s="72"/>
      <c r="G118" s="72"/>
      <c r="H118" s="70" t="s">
        <v>261</v>
      </c>
      <c r="I118" s="73" t="s">
        <v>19</v>
      </c>
      <c r="J118" s="74">
        <v>1</v>
      </c>
      <c r="K118" s="81">
        <v>1</v>
      </c>
      <c r="L118" s="76"/>
      <c r="M118" s="76"/>
      <c r="N118" s="76"/>
      <c r="O118" s="76"/>
      <c r="P118" s="70" t="s">
        <v>1616</v>
      </c>
      <c r="Q118" s="77"/>
      <c r="S118" s="9"/>
      <c r="T118" s="14" t="s">
        <v>1555</v>
      </c>
      <c r="U118" s="19">
        <v>5</v>
      </c>
    </row>
    <row r="119" spans="1:21" ht="63" x14ac:dyDescent="0.25">
      <c r="A119" s="280" t="s">
        <v>262</v>
      </c>
      <c r="B119" s="282" t="s">
        <v>263</v>
      </c>
      <c r="C119" s="61"/>
      <c r="D119" s="62">
        <f>SUM(D120:D121)</f>
        <v>11.1</v>
      </c>
      <c r="E119" s="62">
        <f>SUM(E120:E121)</f>
        <v>10.1</v>
      </c>
      <c r="F119" s="63">
        <f>SUM(F120:F121)</f>
        <v>1</v>
      </c>
      <c r="G119" s="79">
        <f t="shared" ref="G119:G124" si="7">SUM(E119/D119)</f>
        <v>0.90990990990990994</v>
      </c>
      <c r="H119" s="61" t="s">
        <v>264</v>
      </c>
      <c r="I119" s="65" t="s">
        <v>14</v>
      </c>
      <c r="J119" s="66">
        <v>100</v>
      </c>
      <c r="K119" s="89">
        <v>100</v>
      </c>
      <c r="L119" s="68" t="s">
        <v>54</v>
      </c>
      <c r="M119" s="68" t="s">
        <v>15</v>
      </c>
      <c r="N119" s="68" t="s">
        <v>54</v>
      </c>
      <c r="O119" s="68" t="s">
        <v>15</v>
      </c>
      <c r="P119" s="61" t="s">
        <v>265</v>
      </c>
      <c r="Q119" s="69"/>
      <c r="S119" s="8"/>
      <c r="T119" s="14" t="s">
        <v>1553</v>
      </c>
      <c r="U119" s="13">
        <v>4</v>
      </c>
    </row>
    <row r="120" spans="1:21" ht="63" x14ac:dyDescent="0.25">
      <c r="A120" s="284"/>
      <c r="B120" s="324"/>
      <c r="C120" s="70" t="s">
        <v>37</v>
      </c>
      <c r="D120" s="71">
        <v>6.1</v>
      </c>
      <c r="E120" s="71">
        <v>5.0999999999999996</v>
      </c>
      <c r="F120" s="72">
        <v>1</v>
      </c>
      <c r="G120" s="80">
        <f t="shared" si="7"/>
        <v>0.83606557377049184</v>
      </c>
      <c r="H120" s="246" t="s">
        <v>266</v>
      </c>
      <c r="I120" s="247" t="s">
        <v>251</v>
      </c>
      <c r="J120" s="248">
        <v>70</v>
      </c>
      <c r="K120" s="305">
        <v>153.41999999999999</v>
      </c>
      <c r="L120" s="76" t="s">
        <v>267</v>
      </c>
      <c r="M120" s="76" t="s">
        <v>15</v>
      </c>
      <c r="N120" s="76" t="s">
        <v>267</v>
      </c>
      <c r="O120" s="76" t="s">
        <v>15</v>
      </c>
      <c r="P120" s="367"/>
      <c r="Q120" s="366" t="s">
        <v>268</v>
      </c>
      <c r="S120" s="16"/>
      <c r="T120" s="17" t="s">
        <v>1554</v>
      </c>
      <c r="U120" s="13">
        <v>23</v>
      </c>
    </row>
    <row r="121" spans="1:21" ht="32.25" customHeight="1" thickBot="1" x14ac:dyDescent="0.3">
      <c r="A121" s="281"/>
      <c r="B121" s="283"/>
      <c r="C121" s="70" t="s">
        <v>269</v>
      </c>
      <c r="D121" s="71">
        <v>5</v>
      </c>
      <c r="E121" s="71">
        <v>5</v>
      </c>
      <c r="F121" s="72"/>
      <c r="G121" s="91">
        <f t="shared" si="7"/>
        <v>1</v>
      </c>
      <c r="H121" s="214"/>
      <c r="I121" s="217"/>
      <c r="J121" s="220"/>
      <c r="K121" s="242"/>
      <c r="L121" s="76"/>
      <c r="M121" s="76"/>
      <c r="N121" s="76"/>
      <c r="O121" s="76"/>
      <c r="P121" s="335"/>
      <c r="Q121" s="263"/>
    </row>
    <row r="122" spans="1:21" ht="122.25" customHeight="1" x14ac:dyDescent="0.25">
      <c r="A122" s="280" t="s">
        <v>270</v>
      </c>
      <c r="B122" s="282" t="s">
        <v>271</v>
      </c>
      <c r="C122" s="61"/>
      <c r="D122" s="62">
        <f>SUM(D123:D123)</f>
        <v>321.60000000000002</v>
      </c>
      <c r="E122" s="62">
        <f>SUM(E123:E123)</f>
        <v>0.4</v>
      </c>
      <c r="F122" s="63">
        <f>SUM(F123:F123)</f>
        <v>321.2</v>
      </c>
      <c r="G122" s="79">
        <f t="shared" si="7"/>
        <v>1.2437810945273632E-3</v>
      </c>
      <c r="H122" s="61" t="s">
        <v>272</v>
      </c>
      <c r="I122" s="65" t="s">
        <v>19</v>
      </c>
      <c r="J122" s="66">
        <v>189</v>
      </c>
      <c r="K122" s="67">
        <v>0</v>
      </c>
      <c r="L122" s="68" t="s">
        <v>135</v>
      </c>
      <c r="M122" s="68" t="s">
        <v>15</v>
      </c>
      <c r="N122" s="68"/>
      <c r="O122" s="68"/>
      <c r="P122" s="61"/>
      <c r="Q122" s="69" t="s">
        <v>1788</v>
      </c>
    </row>
    <row r="123" spans="1:21" ht="120.75" customHeight="1" thickBot="1" x14ac:dyDescent="0.3">
      <c r="A123" s="281"/>
      <c r="B123" s="283"/>
      <c r="C123" s="70" t="s">
        <v>37</v>
      </c>
      <c r="D123" s="71">
        <v>321.60000000000002</v>
      </c>
      <c r="E123" s="71">
        <v>0.4</v>
      </c>
      <c r="F123" s="72">
        <v>321.2</v>
      </c>
      <c r="G123" s="125">
        <f t="shared" si="7"/>
        <v>1.2437810945273632E-3</v>
      </c>
      <c r="H123" s="70" t="s">
        <v>273</v>
      </c>
      <c r="I123" s="73" t="s">
        <v>19</v>
      </c>
      <c r="J123" s="74">
        <v>1</v>
      </c>
      <c r="K123" s="75">
        <v>0</v>
      </c>
      <c r="L123" s="76" t="s">
        <v>29</v>
      </c>
      <c r="M123" s="76" t="s">
        <v>15</v>
      </c>
      <c r="N123" s="76"/>
      <c r="O123" s="76"/>
      <c r="P123" s="70"/>
      <c r="Q123" s="77" t="s">
        <v>1789</v>
      </c>
    </row>
    <row r="124" spans="1:21" ht="49.5" customHeight="1" x14ac:dyDescent="0.25">
      <c r="A124" s="280" t="s">
        <v>274</v>
      </c>
      <c r="B124" s="282" t="s">
        <v>275</v>
      </c>
      <c r="C124" s="215" t="s">
        <v>27</v>
      </c>
      <c r="D124" s="232">
        <f>SUM(D125:D126)+60.6</f>
        <v>60.6</v>
      </c>
      <c r="E124" s="232"/>
      <c r="F124" s="235">
        <f>SUM(F125:F126)+60.6</f>
        <v>60.6</v>
      </c>
      <c r="G124" s="238">
        <f t="shared" si="7"/>
        <v>0</v>
      </c>
      <c r="H124" s="212" t="s">
        <v>276</v>
      </c>
      <c r="I124" s="215" t="s">
        <v>19</v>
      </c>
      <c r="J124" s="218">
        <v>1</v>
      </c>
      <c r="K124" s="297">
        <v>0</v>
      </c>
      <c r="L124" s="68"/>
      <c r="M124" s="68"/>
      <c r="N124" s="68"/>
      <c r="O124" s="68"/>
      <c r="P124" s="212" t="s">
        <v>1613</v>
      </c>
      <c r="Q124" s="227" t="s">
        <v>1790</v>
      </c>
    </row>
    <row r="125" spans="1:21" ht="44.25" customHeight="1" x14ac:dyDescent="0.25">
      <c r="A125" s="284"/>
      <c r="B125" s="324"/>
      <c r="C125" s="216"/>
      <c r="D125" s="233"/>
      <c r="E125" s="233"/>
      <c r="F125" s="236"/>
      <c r="G125" s="239"/>
      <c r="H125" s="213"/>
      <c r="I125" s="216"/>
      <c r="J125" s="219"/>
      <c r="K125" s="298"/>
      <c r="L125" s="76" t="s">
        <v>60</v>
      </c>
      <c r="M125" s="76" t="s">
        <v>15</v>
      </c>
      <c r="N125" s="76"/>
      <c r="O125" s="76"/>
      <c r="P125" s="213"/>
      <c r="Q125" s="228"/>
    </row>
    <row r="126" spans="1:21" ht="34.5" customHeight="1" thickBot="1" x14ac:dyDescent="0.3">
      <c r="A126" s="281"/>
      <c r="B126" s="283"/>
      <c r="C126" s="217"/>
      <c r="D126" s="234"/>
      <c r="E126" s="234"/>
      <c r="F126" s="237"/>
      <c r="G126" s="240"/>
      <c r="H126" s="214"/>
      <c r="I126" s="217"/>
      <c r="J126" s="220"/>
      <c r="K126" s="299"/>
      <c r="L126" s="76" t="s">
        <v>29</v>
      </c>
      <c r="M126" s="76" t="s">
        <v>15</v>
      </c>
      <c r="N126" s="76"/>
      <c r="O126" s="76"/>
      <c r="P126" s="214"/>
      <c r="Q126" s="229"/>
    </row>
    <row r="127" spans="1:21" ht="48" thickBot="1" x14ac:dyDescent="0.3">
      <c r="A127" s="53" t="s">
        <v>278</v>
      </c>
      <c r="B127" s="54" t="s">
        <v>279</v>
      </c>
      <c r="C127" s="55"/>
      <c r="D127" s="56">
        <f>D128+D130+D132+D136+D139</f>
        <v>257.60000000000002</v>
      </c>
      <c r="E127" s="56">
        <f>E128+E130+E132+E136+E139</f>
        <v>105.5</v>
      </c>
      <c r="F127" s="56">
        <f>F128+F130+F132+F136+F139</f>
        <v>152.1</v>
      </c>
      <c r="G127" s="57">
        <f t="shared" ref="G127:G138" si="8">SUM(E127/D127)</f>
        <v>0.40954968944099374</v>
      </c>
      <c r="H127" s="55"/>
      <c r="I127" s="58"/>
      <c r="J127" s="59"/>
      <c r="K127" s="59"/>
      <c r="L127" s="60"/>
      <c r="M127" s="60"/>
      <c r="N127" s="60"/>
      <c r="O127" s="60"/>
      <c r="P127" s="210"/>
      <c r="Q127" s="211"/>
    </row>
    <row r="128" spans="1:21" ht="53.25" customHeight="1" x14ac:dyDescent="0.25">
      <c r="A128" s="280" t="s">
        <v>280</v>
      </c>
      <c r="B128" s="282" t="s">
        <v>281</v>
      </c>
      <c r="C128" s="61"/>
      <c r="D128" s="62">
        <f>SUM(D129:D129)</f>
        <v>20</v>
      </c>
      <c r="E128" s="62"/>
      <c r="F128" s="63">
        <f>SUM(F129:F129)</f>
        <v>20</v>
      </c>
      <c r="G128" s="79">
        <f t="shared" si="8"/>
        <v>0</v>
      </c>
      <c r="H128" s="212" t="s">
        <v>282</v>
      </c>
      <c r="I128" s="215" t="s">
        <v>19</v>
      </c>
      <c r="J128" s="218">
        <v>1</v>
      </c>
      <c r="K128" s="297">
        <v>0</v>
      </c>
      <c r="L128" s="68" t="s">
        <v>29</v>
      </c>
      <c r="M128" s="68" t="s">
        <v>15</v>
      </c>
      <c r="N128" s="68" t="s">
        <v>29</v>
      </c>
      <c r="O128" s="68" t="s">
        <v>15</v>
      </c>
      <c r="P128" s="333"/>
      <c r="Q128" s="262" t="s">
        <v>283</v>
      </c>
    </row>
    <row r="129" spans="1:17" ht="138" customHeight="1" thickBot="1" x14ac:dyDescent="0.3">
      <c r="A129" s="281"/>
      <c r="B129" s="283"/>
      <c r="C129" s="70" t="s">
        <v>269</v>
      </c>
      <c r="D129" s="71">
        <v>20</v>
      </c>
      <c r="E129" s="71"/>
      <c r="F129" s="72">
        <v>20</v>
      </c>
      <c r="G129" s="125">
        <f t="shared" si="8"/>
        <v>0</v>
      </c>
      <c r="H129" s="214"/>
      <c r="I129" s="217"/>
      <c r="J129" s="220"/>
      <c r="K129" s="299"/>
      <c r="L129" s="76"/>
      <c r="M129" s="76"/>
      <c r="N129" s="76"/>
      <c r="O129" s="76"/>
      <c r="P129" s="335"/>
      <c r="Q129" s="263"/>
    </row>
    <row r="130" spans="1:17" ht="63" x14ac:dyDescent="0.25">
      <c r="A130" s="280" t="s">
        <v>284</v>
      </c>
      <c r="B130" s="282" t="s">
        <v>285</v>
      </c>
      <c r="C130" s="61"/>
      <c r="D130" s="62">
        <f>SUM(D131:D131)</f>
        <v>15.1</v>
      </c>
      <c r="E130" s="62">
        <f>SUM(E131:E131)</f>
        <v>10.9</v>
      </c>
      <c r="F130" s="63">
        <f>SUM(F131:F131)</f>
        <v>4.2</v>
      </c>
      <c r="G130" s="79">
        <f t="shared" si="8"/>
        <v>0.72185430463576161</v>
      </c>
      <c r="H130" s="212" t="s">
        <v>286</v>
      </c>
      <c r="I130" s="215" t="s">
        <v>19</v>
      </c>
      <c r="J130" s="218">
        <v>3</v>
      </c>
      <c r="K130" s="221">
        <v>2</v>
      </c>
      <c r="L130" s="68" t="s">
        <v>59</v>
      </c>
      <c r="M130" s="68" t="s">
        <v>15</v>
      </c>
      <c r="N130" s="68" t="s">
        <v>59</v>
      </c>
      <c r="O130" s="68" t="s">
        <v>15</v>
      </c>
      <c r="P130" s="212" t="s">
        <v>287</v>
      </c>
      <c r="Q130" s="227" t="s">
        <v>1780</v>
      </c>
    </row>
    <row r="131" spans="1:17" ht="27.75" customHeight="1" thickBot="1" x14ac:dyDescent="0.3">
      <c r="A131" s="281"/>
      <c r="B131" s="283"/>
      <c r="C131" s="70" t="s">
        <v>269</v>
      </c>
      <c r="D131" s="71">
        <v>15.1</v>
      </c>
      <c r="E131" s="71">
        <v>10.9</v>
      </c>
      <c r="F131" s="72">
        <v>4.2</v>
      </c>
      <c r="G131" s="125">
        <f t="shared" si="8"/>
        <v>0.72185430463576161</v>
      </c>
      <c r="H131" s="214"/>
      <c r="I131" s="217"/>
      <c r="J131" s="220"/>
      <c r="K131" s="223"/>
      <c r="L131" s="76"/>
      <c r="M131" s="76"/>
      <c r="N131" s="76"/>
      <c r="O131" s="76"/>
      <c r="P131" s="214"/>
      <c r="Q131" s="229"/>
    </row>
    <row r="132" spans="1:17" ht="157.5" x14ac:dyDescent="0.25">
      <c r="A132" s="280" t="s">
        <v>288</v>
      </c>
      <c r="B132" s="282" t="s">
        <v>289</v>
      </c>
      <c r="C132" s="61"/>
      <c r="D132" s="62">
        <f>SUM(D133:D135)</f>
        <v>77</v>
      </c>
      <c r="E132" s="62">
        <f>SUM(E133:E135)</f>
        <v>74.8</v>
      </c>
      <c r="F132" s="63">
        <f>SUM(F133:F135)</f>
        <v>2.2000000000000002</v>
      </c>
      <c r="G132" s="79">
        <f t="shared" si="8"/>
        <v>0.97142857142857142</v>
      </c>
      <c r="H132" s="61" t="s">
        <v>290</v>
      </c>
      <c r="I132" s="65" t="s">
        <v>14</v>
      </c>
      <c r="J132" s="66">
        <v>100</v>
      </c>
      <c r="K132" s="89">
        <v>100</v>
      </c>
      <c r="L132" s="68" t="s">
        <v>54</v>
      </c>
      <c r="M132" s="68" t="s">
        <v>15</v>
      </c>
      <c r="N132" s="68" t="s">
        <v>54</v>
      </c>
      <c r="O132" s="68" t="s">
        <v>15</v>
      </c>
      <c r="P132" s="61" t="s">
        <v>291</v>
      </c>
      <c r="Q132" s="90"/>
    </row>
    <row r="133" spans="1:17" ht="51.75" customHeight="1" x14ac:dyDescent="0.25">
      <c r="A133" s="284"/>
      <c r="B133" s="324"/>
      <c r="C133" s="70" t="s">
        <v>27</v>
      </c>
      <c r="D133" s="71">
        <v>15.4</v>
      </c>
      <c r="E133" s="71">
        <v>15.4</v>
      </c>
      <c r="F133" s="72"/>
      <c r="G133" s="80">
        <f t="shared" si="8"/>
        <v>1</v>
      </c>
      <c r="H133" s="246" t="s">
        <v>292</v>
      </c>
      <c r="I133" s="247" t="s">
        <v>293</v>
      </c>
      <c r="J133" s="287">
        <v>16935</v>
      </c>
      <c r="K133" s="302">
        <v>38900</v>
      </c>
      <c r="L133" s="76" t="s">
        <v>294</v>
      </c>
      <c r="M133" s="76" t="s">
        <v>15</v>
      </c>
      <c r="N133" s="76" t="s">
        <v>295</v>
      </c>
      <c r="O133" s="76" t="s">
        <v>15</v>
      </c>
      <c r="P133" s="246" t="s">
        <v>1568</v>
      </c>
      <c r="Q133" s="286" t="s">
        <v>1614</v>
      </c>
    </row>
    <row r="134" spans="1:17" ht="15.75" x14ac:dyDescent="0.25">
      <c r="A134" s="284"/>
      <c r="B134" s="324"/>
      <c r="C134" s="70" t="s">
        <v>175</v>
      </c>
      <c r="D134" s="71">
        <v>6.6</v>
      </c>
      <c r="E134" s="71">
        <v>4.4000000000000004</v>
      </c>
      <c r="F134" s="72">
        <v>2.2000000000000002</v>
      </c>
      <c r="G134" s="80">
        <f t="shared" si="8"/>
        <v>0.66666666666666674</v>
      </c>
      <c r="H134" s="213"/>
      <c r="I134" s="216"/>
      <c r="J134" s="288"/>
      <c r="K134" s="303"/>
      <c r="L134" s="76"/>
      <c r="M134" s="76"/>
      <c r="N134" s="76"/>
      <c r="O134" s="76"/>
      <c r="P134" s="213"/>
      <c r="Q134" s="228"/>
    </row>
    <row r="135" spans="1:17" ht="16.5" thickBot="1" x14ac:dyDescent="0.3">
      <c r="A135" s="281"/>
      <c r="B135" s="283"/>
      <c r="C135" s="70" t="s">
        <v>269</v>
      </c>
      <c r="D135" s="71">
        <v>55</v>
      </c>
      <c r="E135" s="71">
        <v>55</v>
      </c>
      <c r="F135" s="72"/>
      <c r="G135" s="91">
        <f t="shared" si="8"/>
        <v>1</v>
      </c>
      <c r="H135" s="214"/>
      <c r="I135" s="217"/>
      <c r="J135" s="289"/>
      <c r="K135" s="304"/>
      <c r="L135" s="76"/>
      <c r="M135" s="76"/>
      <c r="N135" s="76"/>
      <c r="O135" s="76"/>
      <c r="P135" s="214"/>
      <c r="Q135" s="229"/>
    </row>
    <row r="136" spans="1:17" ht="38.25" customHeight="1" x14ac:dyDescent="0.25">
      <c r="A136" s="280" t="s">
        <v>296</v>
      </c>
      <c r="B136" s="282" t="s">
        <v>297</v>
      </c>
      <c r="C136" s="61"/>
      <c r="D136" s="62">
        <f>SUM(D137:D138)</f>
        <v>145.5</v>
      </c>
      <c r="E136" s="62">
        <f>SUM(E137:E138)</f>
        <v>19.8</v>
      </c>
      <c r="F136" s="63">
        <f>SUM(F137:F138)</f>
        <v>125.7</v>
      </c>
      <c r="G136" s="79">
        <f t="shared" si="8"/>
        <v>0.13608247422680414</v>
      </c>
      <c r="H136" s="61" t="s">
        <v>298</v>
      </c>
      <c r="I136" s="65" t="s">
        <v>19</v>
      </c>
      <c r="J136" s="66">
        <v>100</v>
      </c>
      <c r="K136" s="109">
        <v>218</v>
      </c>
      <c r="L136" s="68" t="s">
        <v>54</v>
      </c>
      <c r="M136" s="68" t="s">
        <v>15</v>
      </c>
      <c r="N136" s="68" t="s">
        <v>54</v>
      </c>
      <c r="O136" s="68" t="s">
        <v>15</v>
      </c>
      <c r="P136" s="212" t="s">
        <v>299</v>
      </c>
      <c r="Q136" s="227" t="s">
        <v>1779</v>
      </c>
    </row>
    <row r="137" spans="1:17" ht="66.75" customHeight="1" x14ac:dyDescent="0.25">
      <c r="A137" s="284"/>
      <c r="B137" s="324"/>
      <c r="C137" s="70" t="s">
        <v>269</v>
      </c>
      <c r="D137" s="71">
        <v>19.899999999999999</v>
      </c>
      <c r="E137" s="71">
        <v>15</v>
      </c>
      <c r="F137" s="72">
        <v>4.9000000000000004</v>
      </c>
      <c r="G137" s="80">
        <f t="shared" si="8"/>
        <v>0.75376884422110557</v>
      </c>
      <c r="H137" s="246" t="s">
        <v>300</v>
      </c>
      <c r="I137" s="247" t="s">
        <v>14</v>
      </c>
      <c r="J137" s="248">
        <v>60</v>
      </c>
      <c r="K137" s="321">
        <v>0</v>
      </c>
      <c r="L137" s="76"/>
      <c r="M137" s="76"/>
      <c r="N137" s="76"/>
      <c r="O137" s="76"/>
      <c r="P137" s="213"/>
      <c r="Q137" s="228"/>
    </row>
    <row r="138" spans="1:17" ht="30" customHeight="1" thickBot="1" x14ac:dyDescent="0.3">
      <c r="A138" s="281"/>
      <c r="B138" s="283"/>
      <c r="C138" s="70" t="s">
        <v>302</v>
      </c>
      <c r="D138" s="71">
        <v>125.6</v>
      </c>
      <c r="E138" s="71">
        <v>4.8</v>
      </c>
      <c r="F138" s="72">
        <v>120.8</v>
      </c>
      <c r="G138" s="91">
        <f t="shared" si="8"/>
        <v>3.8216560509554139E-2</v>
      </c>
      <c r="H138" s="214"/>
      <c r="I138" s="217"/>
      <c r="J138" s="220"/>
      <c r="K138" s="299"/>
      <c r="L138" s="76"/>
      <c r="M138" s="76"/>
      <c r="N138" s="76"/>
      <c r="O138" s="76"/>
      <c r="P138" s="214"/>
      <c r="Q138" s="229"/>
    </row>
    <row r="139" spans="1:17" ht="79.5" hidden="1" thickBot="1" x14ac:dyDescent="0.3">
      <c r="A139" s="93" t="s">
        <v>303</v>
      </c>
      <c r="B139" s="94" t="s">
        <v>304</v>
      </c>
      <c r="C139" s="61" t="s">
        <v>27</v>
      </c>
      <c r="D139" s="95"/>
      <c r="E139" s="95"/>
      <c r="F139" s="96"/>
      <c r="G139" s="96"/>
      <c r="H139" s="61" t="s">
        <v>305</v>
      </c>
      <c r="I139" s="65" t="s">
        <v>19</v>
      </c>
      <c r="J139" s="66">
        <v>0</v>
      </c>
      <c r="K139" s="66">
        <v>0</v>
      </c>
      <c r="L139" s="68" t="s">
        <v>59</v>
      </c>
      <c r="M139" s="68" t="s">
        <v>15</v>
      </c>
      <c r="N139" s="68" t="s">
        <v>59</v>
      </c>
      <c r="O139" s="68" t="s">
        <v>15</v>
      </c>
      <c r="P139" s="61"/>
      <c r="Q139" s="69"/>
    </row>
    <row r="140" spans="1:17" ht="79.5" thickBot="1" x14ac:dyDescent="0.3">
      <c r="A140" s="53" t="s">
        <v>306</v>
      </c>
      <c r="B140" s="54" t="s">
        <v>307</v>
      </c>
      <c r="C140" s="55"/>
      <c r="D140" s="56">
        <f>D141+D144+D145</f>
        <v>386.9</v>
      </c>
      <c r="E140" s="56">
        <f>E141+E144+E145</f>
        <v>336.5</v>
      </c>
      <c r="F140" s="56">
        <f>F141+F144+F145</f>
        <v>50.400000000000006</v>
      </c>
      <c r="G140" s="57">
        <f t="shared" ref="G140:G171" si="9">SUM(E140/D140)</f>
        <v>0.86973378133884727</v>
      </c>
      <c r="H140" s="55"/>
      <c r="I140" s="58"/>
      <c r="J140" s="59"/>
      <c r="K140" s="59"/>
      <c r="L140" s="60"/>
      <c r="M140" s="60"/>
      <c r="N140" s="60"/>
      <c r="O140" s="60"/>
      <c r="P140" s="210"/>
      <c r="Q140" s="211"/>
    </row>
    <row r="141" spans="1:17" ht="41.25" customHeight="1" x14ac:dyDescent="0.25">
      <c r="A141" s="280" t="s">
        <v>308</v>
      </c>
      <c r="B141" s="282" t="s">
        <v>309</v>
      </c>
      <c r="C141" s="61"/>
      <c r="D141" s="62">
        <f>SUM(D142:D143)</f>
        <v>80</v>
      </c>
      <c r="E141" s="62">
        <f>SUM(E142:E143)</f>
        <v>75.5</v>
      </c>
      <c r="F141" s="63">
        <f>SUM(F142:F143)</f>
        <v>4.5</v>
      </c>
      <c r="G141" s="79">
        <f t="shared" si="9"/>
        <v>0.94374999999999998</v>
      </c>
      <c r="H141" s="212" t="s">
        <v>310</v>
      </c>
      <c r="I141" s="215" t="s">
        <v>19</v>
      </c>
      <c r="J141" s="218">
        <v>70</v>
      </c>
      <c r="K141" s="221">
        <v>64</v>
      </c>
      <c r="L141" s="68" t="s">
        <v>171</v>
      </c>
      <c r="M141" s="68" t="s">
        <v>15</v>
      </c>
      <c r="N141" s="68" t="s">
        <v>171</v>
      </c>
      <c r="O141" s="68" t="s">
        <v>15</v>
      </c>
      <c r="P141" s="212" t="s">
        <v>311</v>
      </c>
      <c r="Q141" s="227" t="s">
        <v>1846</v>
      </c>
    </row>
    <row r="142" spans="1:17" ht="15.75" x14ac:dyDescent="0.25">
      <c r="A142" s="284"/>
      <c r="B142" s="324"/>
      <c r="C142" s="70" t="s">
        <v>27</v>
      </c>
      <c r="D142" s="71">
        <v>50</v>
      </c>
      <c r="E142" s="71">
        <v>45.5</v>
      </c>
      <c r="F142" s="72">
        <v>4.5</v>
      </c>
      <c r="G142" s="80">
        <f t="shared" si="9"/>
        <v>0.91</v>
      </c>
      <c r="H142" s="213"/>
      <c r="I142" s="216"/>
      <c r="J142" s="219"/>
      <c r="K142" s="222"/>
      <c r="L142" s="76"/>
      <c r="M142" s="76"/>
      <c r="N142" s="76"/>
      <c r="O142" s="76"/>
      <c r="P142" s="213"/>
      <c r="Q142" s="228"/>
    </row>
    <row r="143" spans="1:17" ht="23.25" customHeight="1" thickBot="1" x14ac:dyDescent="0.3">
      <c r="A143" s="281"/>
      <c r="B143" s="283"/>
      <c r="C143" s="70" t="s">
        <v>269</v>
      </c>
      <c r="D143" s="71">
        <v>30</v>
      </c>
      <c r="E143" s="71">
        <v>30</v>
      </c>
      <c r="F143" s="72"/>
      <c r="G143" s="91">
        <f t="shared" si="9"/>
        <v>1</v>
      </c>
      <c r="H143" s="214"/>
      <c r="I143" s="217"/>
      <c r="J143" s="220"/>
      <c r="K143" s="223"/>
      <c r="L143" s="76"/>
      <c r="M143" s="76"/>
      <c r="N143" s="76"/>
      <c r="O143" s="76"/>
      <c r="P143" s="214"/>
      <c r="Q143" s="229"/>
    </row>
    <row r="144" spans="1:17" ht="173.25" customHeight="1" thickBot="1" x14ac:dyDescent="0.3">
      <c r="A144" s="93" t="s">
        <v>312</v>
      </c>
      <c r="B144" s="94" t="s">
        <v>313</v>
      </c>
      <c r="C144" s="61" t="s">
        <v>27</v>
      </c>
      <c r="D144" s="95">
        <v>14.2</v>
      </c>
      <c r="E144" s="95">
        <v>14.2</v>
      </c>
      <c r="F144" s="96"/>
      <c r="G144" s="79">
        <f t="shared" si="9"/>
        <v>1</v>
      </c>
      <c r="H144" s="61" t="s">
        <v>199</v>
      </c>
      <c r="I144" s="65" t="s">
        <v>19</v>
      </c>
      <c r="J144" s="66">
        <v>1</v>
      </c>
      <c r="K144" s="89">
        <v>1</v>
      </c>
      <c r="L144" s="68"/>
      <c r="M144" s="68"/>
      <c r="N144" s="68"/>
      <c r="O144" s="68"/>
      <c r="P144" s="61" t="s">
        <v>314</v>
      </c>
      <c r="Q144" s="69"/>
    </row>
    <row r="145" spans="1:17" ht="156" customHeight="1" x14ac:dyDescent="0.25">
      <c r="A145" s="280" t="s">
        <v>315</v>
      </c>
      <c r="B145" s="282" t="s">
        <v>316</v>
      </c>
      <c r="C145" s="61"/>
      <c r="D145" s="62">
        <f>SUM(D146:D147)</f>
        <v>292.7</v>
      </c>
      <c r="E145" s="62">
        <f>SUM(E146:E147)</f>
        <v>246.79999999999998</v>
      </c>
      <c r="F145" s="63">
        <f>SUM(F146:F147)</f>
        <v>45.900000000000006</v>
      </c>
      <c r="G145" s="79">
        <f t="shared" si="9"/>
        <v>0.84318414759139049</v>
      </c>
      <c r="H145" s="212" t="s">
        <v>317</v>
      </c>
      <c r="I145" s="215" t="s">
        <v>318</v>
      </c>
      <c r="J145" s="218">
        <v>920</v>
      </c>
      <c r="K145" s="243">
        <v>920</v>
      </c>
      <c r="L145" s="68"/>
      <c r="M145" s="68"/>
      <c r="N145" s="68"/>
      <c r="O145" s="68"/>
      <c r="P145" s="212" t="s">
        <v>1847</v>
      </c>
      <c r="Q145" s="227" t="s">
        <v>1617</v>
      </c>
    </row>
    <row r="146" spans="1:17" ht="15.75" x14ac:dyDescent="0.25">
      <c r="A146" s="284"/>
      <c r="B146" s="324"/>
      <c r="C146" s="70" t="s">
        <v>175</v>
      </c>
      <c r="D146" s="71">
        <v>290.39999999999998</v>
      </c>
      <c r="E146" s="71">
        <v>245.2</v>
      </c>
      <c r="F146" s="72">
        <v>45.2</v>
      </c>
      <c r="G146" s="80">
        <f t="shared" si="9"/>
        <v>0.84435261707988984</v>
      </c>
      <c r="H146" s="213"/>
      <c r="I146" s="216"/>
      <c r="J146" s="219"/>
      <c r="K146" s="244"/>
      <c r="L146" s="76"/>
      <c r="M146" s="76"/>
      <c r="N146" s="76"/>
      <c r="O146" s="76"/>
      <c r="P146" s="213"/>
      <c r="Q146" s="228"/>
    </row>
    <row r="147" spans="1:17" ht="16.5" thickBot="1" x14ac:dyDescent="0.3">
      <c r="A147" s="281"/>
      <c r="B147" s="283"/>
      <c r="C147" s="70" t="s">
        <v>27</v>
      </c>
      <c r="D147" s="71">
        <v>2.2999999999999998</v>
      </c>
      <c r="E147" s="71">
        <v>1.6</v>
      </c>
      <c r="F147" s="72">
        <v>0.7</v>
      </c>
      <c r="G147" s="91">
        <f t="shared" si="9"/>
        <v>0.69565217391304357</v>
      </c>
      <c r="H147" s="214"/>
      <c r="I147" s="217"/>
      <c r="J147" s="220"/>
      <c r="K147" s="245"/>
      <c r="L147" s="76"/>
      <c r="M147" s="76"/>
      <c r="N147" s="76"/>
      <c r="O147" s="76"/>
      <c r="P147" s="214"/>
      <c r="Q147" s="229"/>
    </row>
    <row r="148" spans="1:17" ht="48" thickBot="1" x14ac:dyDescent="0.3">
      <c r="A148" s="53" t="s">
        <v>319</v>
      </c>
      <c r="B148" s="54" t="s">
        <v>320</v>
      </c>
      <c r="C148" s="55"/>
      <c r="D148" s="56">
        <f>SUM(D149:D149)</f>
        <v>1262.4000000000001</v>
      </c>
      <c r="E148" s="56">
        <f>SUM(E149:E149)</f>
        <v>1030.5</v>
      </c>
      <c r="F148" s="56">
        <f>SUM(F149:F149)</f>
        <v>232</v>
      </c>
      <c r="G148" s="57">
        <f t="shared" si="9"/>
        <v>0.81630228136882121</v>
      </c>
      <c r="H148" s="55"/>
      <c r="I148" s="58"/>
      <c r="J148" s="59"/>
      <c r="K148" s="59"/>
      <c r="L148" s="60"/>
      <c r="M148" s="60"/>
      <c r="N148" s="60"/>
      <c r="O148" s="60"/>
      <c r="P148" s="210"/>
      <c r="Q148" s="211"/>
    </row>
    <row r="149" spans="1:17" ht="89.25" customHeight="1" x14ac:dyDescent="0.25">
      <c r="A149" s="280" t="s">
        <v>321</v>
      </c>
      <c r="B149" s="282" t="s">
        <v>322</v>
      </c>
      <c r="C149" s="61"/>
      <c r="D149" s="62">
        <f>SUM(D150:D152)</f>
        <v>1262.4000000000001</v>
      </c>
      <c r="E149" s="62">
        <f>SUM(E150:E152)</f>
        <v>1030.5</v>
      </c>
      <c r="F149" s="63">
        <f>SUM(F150:F152)</f>
        <v>232</v>
      </c>
      <c r="G149" s="79">
        <f t="shared" si="9"/>
        <v>0.81630228136882121</v>
      </c>
      <c r="H149" s="61" t="s">
        <v>323</v>
      </c>
      <c r="I149" s="65" t="s">
        <v>87</v>
      </c>
      <c r="J149" s="66">
        <v>10</v>
      </c>
      <c r="K149" s="126">
        <v>12</v>
      </c>
      <c r="L149" s="68" t="s">
        <v>114</v>
      </c>
      <c r="M149" s="68" t="s">
        <v>15</v>
      </c>
      <c r="N149" s="68" t="s">
        <v>112</v>
      </c>
      <c r="O149" s="68" t="s">
        <v>15</v>
      </c>
      <c r="P149" s="61" t="s">
        <v>324</v>
      </c>
      <c r="Q149" s="69"/>
    </row>
    <row r="150" spans="1:17" ht="53.25" customHeight="1" x14ac:dyDescent="0.25">
      <c r="A150" s="284"/>
      <c r="B150" s="324"/>
      <c r="C150" s="70" t="s">
        <v>229</v>
      </c>
      <c r="D150" s="71">
        <v>600.5</v>
      </c>
      <c r="E150" s="71">
        <v>396.5</v>
      </c>
      <c r="F150" s="72">
        <v>204</v>
      </c>
      <c r="G150" s="80">
        <f t="shared" si="9"/>
        <v>0.66028309741881763</v>
      </c>
      <c r="H150" s="246" t="s">
        <v>234</v>
      </c>
      <c r="I150" s="247" t="s">
        <v>14</v>
      </c>
      <c r="J150" s="248">
        <v>40</v>
      </c>
      <c r="K150" s="249">
        <v>40</v>
      </c>
      <c r="L150" s="76" t="s">
        <v>301</v>
      </c>
      <c r="M150" s="76" t="s">
        <v>15</v>
      </c>
      <c r="N150" s="76" t="s">
        <v>54</v>
      </c>
      <c r="O150" s="76" t="s">
        <v>15</v>
      </c>
      <c r="P150" s="246" t="s">
        <v>325</v>
      </c>
      <c r="Q150" s="286" t="s">
        <v>1791</v>
      </c>
    </row>
    <row r="151" spans="1:17" ht="33" customHeight="1" x14ac:dyDescent="0.25">
      <c r="A151" s="284"/>
      <c r="B151" s="324"/>
      <c r="C151" s="70" t="s">
        <v>37</v>
      </c>
      <c r="D151" s="71">
        <v>602.9</v>
      </c>
      <c r="E151" s="71">
        <v>600.29999999999995</v>
      </c>
      <c r="F151" s="72">
        <v>2.7</v>
      </c>
      <c r="G151" s="80">
        <f t="shared" si="9"/>
        <v>0.99568751036656156</v>
      </c>
      <c r="H151" s="213"/>
      <c r="I151" s="216"/>
      <c r="J151" s="219"/>
      <c r="K151" s="244"/>
      <c r="L151" s="76"/>
      <c r="M151" s="76"/>
      <c r="N151" s="76"/>
      <c r="O151" s="76"/>
      <c r="P151" s="213"/>
      <c r="Q151" s="228"/>
    </row>
    <row r="152" spans="1:17" ht="54.75" customHeight="1" thickBot="1" x14ac:dyDescent="0.3">
      <c r="A152" s="281"/>
      <c r="B152" s="283"/>
      <c r="C152" s="70" t="s">
        <v>27</v>
      </c>
      <c r="D152" s="71">
        <v>59</v>
      </c>
      <c r="E152" s="71">
        <v>33.700000000000003</v>
      </c>
      <c r="F152" s="72">
        <v>25.3</v>
      </c>
      <c r="G152" s="91">
        <f t="shared" si="9"/>
        <v>0.5711864406779662</v>
      </c>
      <c r="H152" s="214"/>
      <c r="I152" s="217"/>
      <c r="J152" s="220"/>
      <c r="K152" s="245"/>
      <c r="L152" s="76"/>
      <c r="M152" s="76"/>
      <c r="N152" s="76"/>
      <c r="O152" s="76"/>
      <c r="P152" s="214"/>
      <c r="Q152" s="229"/>
    </row>
    <row r="153" spans="1:17" ht="48" thickBot="1" x14ac:dyDescent="0.3">
      <c r="A153" s="53" t="s">
        <v>326</v>
      </c>
      <c r="B153" s="54" t="s">
        <v>327</v>
      </c>
      <c r="C153" s="55"/>
      <c r="D153" s="56">
        <f>D154+D159+D161+D163</f>
        <v>132.1</v>
      </c>
      <c r="E153" s="56">
        <f>E154+E159+E161+E163-0.1</f>
        <v>129.6</v>
      </c>
      <c r="F153" s="56">
        <f>F154+F159+F161+F163+0.1</f>
        <v>2.5</v>
      </c>
      <c r="G153" s="57">
        <f t="shared" si="9"/>
        <v>0.98107494322482969</v>
      </c>
      <c r="H153" s="55"/>
      <c r="I153" s="58"/>
      <c r="J153" s="59"/>
      <c r="K153" s="59"/>
      <c r="L153" s="60"/>
      <c r="M153" s="60"/>
      <c r="N153" s="60"/>
      <c r="O153" s="60"/>
      <c r="P153" s="210"/>
      <c r="Q153" s="211"/>
    </row>
    <row r="154" spans="1:17" ht="78.75" x14ac:dyDescent="0.25">
      <c r="A154" s="280" t="s">
        <v>328</v>
      </c>
      <c r="B154" s="282" t="s">
        <v>329</v>
      </c>
      <c r="C154" s="61"/>
      <c r="D154" s="62">
        <f>SUM(D155:D158)</f>
        <v>85.9</v>
      </c>
      <c r="E154" s="62">
        <f>SUM(E155:E158)+0.1</f>
        <v>83.899999999999991</v>
      </c>
      <c r="F154" s="63">
        <f>SUM(F155:F158)-0.1</f>
        <v>2</v>
      </c>
      <c r="G154" s="79">
        <f t="shared" si="9"/>
        <v>0.97671711292200214</v>
      </c>
      <c r="H154" s="61" t="s">
        <v>330</v>
      </c>
      <c r="I154" s="65" t="s">
        <v>19</v>
      </c>
      <c r="J154" s="66">
        <v>1</v>
      </c>
      <c r="K154" s="89">
        <v>1</v>
      </c>
      <c r="L154" s="68" t="s">
        <v>29</v>
      </c>
      <c r="M154" s="68" t="s">
        <v>15</v>
      </c>
      <c r="N154" s="68" t="s">
        <v>29</v>
      </c>
      <c r="O154" s="68" t="s">
        <v>15</v>
      </c>
      <c r="P154" s="61" t="s">
        <v>331</v>
      </c>
      <c r="Q154" s="90"/>
    </row>
    <row r="155" spans="1:17" ht="99" customHeight="1" x14ac:dyDescent="0.25">
      <c r="A155" s="284"/>
      <c r="B155" s="324"/>
      <c r="C155" s="70" t="s">
        <v>27</v>
      </c>
      <c r="D155" s="71">
        <v>69.2</v>
      </c>
      <c r="E155" s="71">
        <v>69.099999999999994</v>
      </c>
      <c r="F155" s="72">
        <v>0.1</v>
      </c>
      <c r="G155" s="80">
        <f t="shared" si="9"/>
        <v>0.99855491329479762</v>
      </c>
      <c r="H155" s="246" t="s">
        <v>332</v>
      </c>
      <c r="I155" s="247" t="s">
        <v>19</v>
      </c>
      <c r="J155" s="248">
        <v>1</v>
      </c>
      <c r="K155" s="249">
        <v>1</v>
      </c>
      <c r="L155" s="76" t="s">
        <v>29</v>
      </c>
      <c r="M155" s="76" t="s">
        <v>15</v>
      </c>
      <c r="N155" s="76" t="s">
        <v>29</v>
      </c>
      <c r="O155" s="76" t="s">
        <v>15</v>
      </c>
      <c r="P155" s="246" t="s">
        <v>333</v>
      </c>
      <c r="Q155" s="286"/>
    </row>
    <row r="156" spans="1:17" ht="15.75" x14ac:dyDescent="0.25">
      <c r="A156" s="284"/>
      <c r="B156" s="324"/>
      <c r="C156" s="70" t="s">
        <v>169</v>
      </c>
      <c r="D156" s="71">
        <v>3</v>
      </c>
      <c r="E156" s="71">
        <v>1.1000000000000001</v>
      </c>
      <c r="F156" s="72">
        <v>1.9</v>
      </c>
      <c r="G156" s="80">
        <f t="shared" si="9"/>
        <v>0.3666666666666667</v>
      </c>
      <c r="H156" s="213"/>
      <c r="I156" s="216"/>
      <c r="J156" s="219"/>
      <c r="K156" s="244"/>
      <c r="L156" s="76"/>
      <c r="M156" s="76"/>
      <c r="N156" s="76"/>
      <c r="O156" s="76"/>
      <c r="P156" s="213"/>
      <c r="Q156" s="228"/>
    </row>
    <row r="157" spans="1:17" ht="15.75" x14ac:dyDescent="0.25">
      <c r="A157" s="284"/>
      <c r="B157" s="324"/>
      <c r="C157" s="70" t="s">
        <v>269</v>
      </c>
      <c r="D157" s="71">
        <v>13</v>
      </c>
      <c r="E157" s="71">
        <v>12.9</v>
      </c>
      <c r="F157" s="72">
        <v>0.1</v>
      </c>
      <c r="G157" s="80">
        <f t="shared" si="9"/>
        <v>0.99230769230769234</v>
      </c>
      <c r="H157" s="213"/>
      <c r="I157" s="216"/>
      <c r="J157" s="219"/>
      <c r="K157" s="244"/>
      <c r="L157" s="76"/>
      <c r="M157" s="76"/>
      <c r="N157" s="76"/>
      <c r="O157" s="76"/>
      <c r="P157" s="213"/>
      <c r="Q157" s="228"/>
    </row>
    <row r="158" spans="1:17" ht="16.5" thickBot="1" x14ac:dyDescent="0.3">
      <c r="A158" s="281"/>
      <c r="B158" s="283"/>
      <c r="C158" s="70" t="s">
        <v>37</v>
      </c>
      <c r="D158" s="71">
        <v>0.7</v>
      </c>
      <c r="E158" s="71">
        <v>0.7</v>
      </c>
      <c r="F158" s="72"/>
      <c r="G158" s="91">
        <f t="shared" si="9"/>
        <v>1</v>
      </c>
      <c r="H158" s="214"/>
      <c r="I158" s="217"/>
      <c r="J158" s="220"/>
      <c r="K158" s="245"/>
      <c r="L158" s="76"/>
      <c r="M158" s="76"/>
      <c r="N158" s="76"/>
      <c r="O158" s="76"/>
      <c r="P158" s="214"/>
      <c r="Q158" s="229"/>
    </row>
    <row r="159" spans="1:17" ht="65.25" customHeight="1" x14ac:dyDescent="0.25">
      <c r="A159" s="280" t="s">
        <v>334</v>
      </c>
      <c r="B159" s="282" t="s">
        <v>335</v>
      </c>
      <c r="C159" s="61"/>
      <c r="D159" s="62">
        <f>SUM(D160:D160)</f>
        <v>22.3</v>
      </c>
      <c r="E159" s="62">
        <f>SUM(E160:E160)</f>
        <v>22.3</v>
      </c>
      <c r="F159" s="63"/>
      <c r="G159" s="79">
        <f t="shared" si="9"/>
        <v>1</v>
      </c>
      <c r="H159" s="212" t="s">
        <v>336</v>
      </c>
      <c r="I159" s="215" t="s">
        <v>251</v>
      </c>
      <c r="J159" s="218">
        <v>420</v>
      </c>
      <c r="K159" s="241">
        <v>460</v>
      </c>
      <c r="L159" s="68" t="s">
        <v>337</v>
      </c>
      <c r="M159" s="68" t="s">
        <v>15</v>
      </c>
      <c r="N159" s="68" t="s">
        <v>337</v>
      </c>
      <c r="O159" s="68" t="s">
        <v>15</v>
      </c>
      <c r="P159" s="212" t="s">
        <v>339</v>
      </c>
      <c r="Q159" s="227"/>
    </row>
    <row r="160" spans="1:17" ht="35.25" customHeight="1" thickBot="1" x14ac:dyDescent="0.3">
      <c r="A160" s="281"/>
      <c r="B160" s="283"/>
      <c r="C160" s="70" t="s">
        <v>269</v>
      </c>
      <c r="D160" s="71">
        <v>22.3</v>
      </c>
      <c r="E160" s="71">
        <v>22.3</v>
      </c>
      <c r="F160" s="72"/>
      <c r="G160" s="125">
        <f t="shared" si="9"/>
        <v>1</v>
      </c>
      <c r="H160" s="214"/>
      <c r="I160" s="217"/>
      <c r="J160" s="220"/>
      <c r="K160" s="242"/>
      <c r="L160" s="76"/>
      <c r="M160" s="76"/>
      <c r="N160" s="76"/>
      <c r="O160" s="76"/>
      <c r="P160" s="214"/>
      <c r="Q160" s="229"/>
    </row>
    <row r="161" spans="1:17" ht="105" customHeight="1" x14ac:dyDescent="0.25">
      <c r="A161" s="280" t="s">
        <v>340</v>
      </c>
      <c r="B161" s="282" t="s">
        <v>341</v>
      </c>
      <c r="C161" s="61"/>
      <c r="D161" s="62">
        <f>SUM(D162:D162)</f>
        <v>5</v>
      </c>
      <c r="E161" s="62">
        <f>SUM(E162:E162)</f>
        <v>4.5999999999999996</v>
      </c>
      <c r="F161" s="63">
        <f>SUM(F162:F162)</f>
        <v>0.4</v>
      </c>
      <c r="G161" s="79">
        <f t="shared" si="9"/>
        <v>0.91999999999999993</v>
      </c>
      <c r="H161" s="212" t="s">
        <v>342</v>
      </c>
      <c r="I161" s="215" t="s">
        <v>19</v>
      </c>
      <c r="J161" s="218">
        <v>1</v>
      </c>
      <c r="K161" s="243">
        <v>1</v>
      </c>
      <c r="L161" s="68" t="s">
        <v>29</v>
      </c>
      <c r="M161" s="68" t="s">
        <v>15</v>
      </c>
      <c r="N161" s="68" t="s">
        <v>29</v>
      </c>
      <c r="O161" s="68" t="s">
        <v>15</v>
      </c>
      <c r="P161" s="212" t="s">
        <v>343</v>
      </c>
      <c r="Q161" s="227" t="s">
        <v>1848</v>
      </c>
    </row>
    <row r="162" spans="1:17" ht="33.75" customHeight="1" thickBot="1" x14ac:dyDescent="0.3">
      <c r="A162" s="281"/>
      <c r="B162" s="283"/>
      <c r="C162" s="70" t="s">
        <v>269</v>
      </c>
      <c r="D162" s="71">
        <v>5</v>
      </c>
      <c r="E162" s="71">
        <v>4.5999999999999996</v>
      </c>
      <c r="F162" s="72">
        <v>0.4</v>
      </c>
      <c r="G162" s="125">
        <f t="shared" si="9"/>
        <v>0.91999999999999993</v>
      </c>
      <c r="H162" s="214"/>
      <c r="I162" s="217"/>
      <c r="J162" s="220"/>
      <c r="K162" s="245"/>
      <c r="L162" s="76"/>
      <c r="M162" s="76"/>
      <c r="N162" s="76"/>
      <c r="O162" s="76"/>
      <c r="P162" s="214"/>
      <c r="Q162" s="229"/>
    </row>
    <row r="163" spans="1:17" ht="88.5" customHeight="1" x14ac:dyDescent="0.25">
      <c r="A163" s="280" t="s">
        <v>344</v>
      </c>
      <c r="B163" s="282" t="s">
        <v>345</v>
      </c>
      <c r="C163" s="61"/>
      <c r="D163" s="62">
        <f>SUM(D164:D164)</f>
        <v>18.899999999999999</v>
      </c>
      <c r="E163" s="62">
        <f>SUM(E164:E164)</f>
        <v>18.899999999999999</v>
      </c>
      <c r="F163" s="63"/>
      <c r="G163" s="79">
        <f t="shared" si="9"/>
        <v>1</v>
      </c>
      <c r="H163" s="212" t="s">
        <v>199</v>
      </c>
      <c r="I163" s="215" t="s">
        <v>19</v>
      </c>
      <c r="J163" s="218">
        <v>1</v>
      </c>
      <c r="K163" s="243">
        <v>1</v>
      </c>
      <c r="L163" s="68"/>
      <c r="M163" s="68"/>
      <c r="N163" s="68"/>
      <c r="O163" s="68"/>
      <c r="P163" s="212" t="s">
        <v>346</v>
      </c>
      <c r="Q163" s="227"/>
    </row>
    <row r="164" spans="1:17" ht="109.5" customHeight="1" thickBot="1" x14ac:dyDescent="0.3">
      <c r="A164" s="281"/>
      <c r="B164" s="283"/>
      <c r="C164" s="70" t="s">
        <v>37</v>
      </c>
      <c r="D164" s="71">
        <v>18.899999999999999</v>
      </c>
      <c r="E164" s="71">
        <v>18.899999999999999</v>
      </c>
      <c r="F164" s="72"/>
      <c r="G164" s="125">
        <f t="shared" si="9"/>
        <v>1</v>
      </c>
      <c r="H164" s="214"/>
      <c r="I164" s="217"/>
      <c r="J164" s="220"/>
      <c r="K164" s="245"/>
      <c r="L164" s="76"/>
      <c r="M164" s="76"/>
      <c r="N164" s="76"/>
      <c r="O164" s="76"/>
      <c r="P164" s="214"/>
      <c r="Q164" s="229"/>
    </row>
    <row r="165" spans="1:17" ht="113.25" customHeight="1" thickBot="1" x14ac:dyDescent="0.3">
      <c r="A165" s="53" t="s">
        <v>347</v>
      </c>
      <c r="B165" s="54" t="s">
        <v>348</v>
      </c>
      <c r="C165" s="55"/>
      <c r="D165" s="56">
        <f>D166+D168+D170+D173</f>
        <v>17.700000000000003</v>
      </c>
      <c r="E165" s="56">
        <f>E166+E168+E170+E173</f>
        <v>14.6</v>
      </c>
      <c r="F165" s="56">
        <f>F166+F168+F170+F173</f>
        <v>3.1</v>
      </c>
      <c r="G165" s="57">
        <f t="shared" si="9"/>
        <v>0.82485875706214673</v>
      </c>
      <c r="H165" s="55"/>
      <c r="I165" s="58"/>
      <c r="J165" s="59"/>
      <c r="K165" s="59"/>
      <c r="L165" s="60"/>
      <c r="M165" s="60"/>
      <c r="N165" s="60"/>
      <c r="O165" s="60"/>
      <c r="P165" s="210"/>
      <c r="Q165" s="211"/>
    </row>
    <row r="166" spans="1:17" ht="65.25" customHeight="1" x14ac:dyDescent="0.25">
      <c r="A166" s="280" t="s">
        <v>349</v>
      </c>
      <c r="B166" s="282" t="s">
        <v>350</v>
      </c>
      <c r="C166" s="61"/>
      <c r="D166" s="62">
        <f>SUM(D167:D167)</f>
        <v>3</v>
      </c>
      <c r="E166" s="62">
        <f>SUM(E167:E167)</f>
        <v>2.4</v>
      </c>
      <c r="F166" s="63">
        <f>SUM(F167:F167)</f>
        <v>0.6</v>
      </c>
      <c r="G166" s="79">
        <f t="shared" si="9"/>
        <v>0.79999999999999993</v>
      </c>
      <c r="H166" s="212" t="s">
        <v>351</v>
      </c>
      <c r="I166" s="215" t="s">
        <v>19</v>
      </c>
      <c r="J166" s="218">
        <v>7</v>
      </c>
      <c r="K166" s="342">
        <v>1</v>
      </c>
      <c r="L166" s="68" t="s">
        <v>109</v>
      </c>
      <c r="M166" s="68" t="s">
        <v>15</v>
      </c>
      <c r="N166" s="68" t="s">
        <v>109</v>
      </c>
      <c r="O166" s="68" t="s">
        <v>15</v>
      </c>
      <c r="P166" s="212" t="s">
        <v>352</v>
      </c>
      <c r="Q166" s="227" t="s">
        <v>1849</v>
      </c>
    </row>
    <row r="167" spans="1:17" ht="33.75" customHeight="1" thickBot="1" x14ac:dyDescent="0.3">
      <c r="A167" s="281"/>
      <c r="B167" s="283"/>
      <c r="C167" s="70" t="s">
        <v>269</v>
      </c>
      <c r="D167" s="71">
        <v>3</v>
      </c>
      <c r="E167" s="71">
        <v>2.4</v>
      </c>
      <c r="F167" s="72">
        <v>0.6</v>
      </c>
      <c r="G167" s="125">
        <f t="shared" si="9"/>
        <v>0.79999999999999993</v>
      </c>
      <c r="H167" s="214"/>
      <c r="I167" s="217"/>
      <c r="J167" s="220"/>
      <c r="K167" s="344"/>
      <c r="L167" s="76"/>
      <c r="M167" s="76"/>
      <c r="N167" s="76"/>
      <c r="O167" s="76"/>
      <c r="P167" s="214"/>
      <c r="Q167" s="229"/>
    </row>
    <row r="168" spans="1:17" ht="78.75" customHeight="1" x14ac:dyDescent="0.25">
      <c r="A168" s="280" t="s">
        <v>353</v>
      </c>
      <c r="B168" s="282" t="s">
        <v>354</v>
      </c>
      <c r="C168" s="61"/>
      <c r="D168" s="62">
        <f>SUM(D169:D169)</f>
        <v>0.9</v>
      </c>
      <c r="E168" s="62">
        <f>SUM(E169:E169)</f>
        <v>0.9</v>
      </c>
      <c r="F168" s="63"/>
      <c r="G168" s="79">
        <f t="shared" si="9"/>
        <v>1</v>
      </c>
      <c r="H168" s="212" t="s">
        <v>355</v>
      </c>
      <c r="I168" s="215" t="s">
        <v>19</v>
      </c>
      <c r="J168" s="218">
        <v>60</v>
      </c>
      <c r="K168" s="221">
        <v>30</v>
      </c>
      <c r="L168" s="68" t="s">
        <v>301</v>
      </c>
      <c r="M168" s="68" t="s">
        <v>15</v>
      </c>
      <c r="N168" s="68" t="s">
        <v>301</v>
      </c>
      <c r="O168" s="68" t="s">
        <v>15</v>
      </c>
      <c r="P168" s="212" t="s">
        <v>356</v>
      </c>
      <c r="Q168" s="227" t="s">
        <v>1615</v>
      </c>
    </row>
    <row r="169" spans="1:17" ht="31.5" customHeight="1" thickBot="1" x14ac:dyDescent="0.3">
      <c r="A169" s="281"/>
      <c r="B169" s="283"/>
      <c r="C169" s="70" t="s">
        <v>269</v>
      </c>
      <c r="D169" s="71">
        <v>0.9</v>
      </c>
      <c r="E169" s="71">
        <v>0.9</v>
      </c>
      <c r="F169" s="72"/>
      <c r="G169" s="125">
        <f t="shared" si="9"/>
        <v>1</v>
      </c>
      <c r="H169" s="214"/>
      <c r="I169" s="217"/>
      <c r="J169" s="220"/>
      <c r="K169" s="223"/>
      <c r="L169" s="76"/>
      <c r="M169" s="76"/>
      <c r="N169" s="76"/>
      <c r="O169" s="76"/>
      <c r="P169" s="214"/>
      <c r="Q169" s="229"/>
    </row>
    <row r="170" spans="1:17" ht="110.25" customHeight="1" x14ac:dyDescent="0.25">
      <c r="A170" s="280" t="s">
        <v>357</v>
      </c>
      <c r="B170" s="282" t="s">
        <v>358</v>
      </c>
      <c r="C170" s="61"/>
      <c r="D170" s="62">
        <f>SUM(D171:D172)</f>
        <v>8.8000000000000007</v>
      </c>
      <c r="E170" s="62">
        <f>SUM(E171:E172)</f>
        <v>6.3</v>
      </c>
      <c r="F170" s="63">
        <f>SUM(F171:F172)</f>
        <v>2.5</v>
      </c>
      <c r="G170" s="79">
        <f t="shared" si="9"/>
        <v>0.71590909090909083</v>
      </c>
      <c r="H170" s="61" t="s">
        <v>359</v>
      </c>
      <c r="I170" s="65" t="s">
        <v>19</v>
      </c>
      <c r="J170" s="66">
        <v>2</v>
      </c>
      <c r="K170" s="89">
        <v>2</v>
      </c>
      <c r="L170" s="68" t="s">
        <v>42</v>
      </c>
      <c r="M170" s="68" t="s">
        <v>15</v>
      </c>
      <c r="N170" s="68" t="s">
        <v>42</v>
      </c>
      <c r="O170" s="68" t="s">
        <v>15</v>
      </c>
      <c r="P170" s="61" t="s">
        <v>360</v>
      </c>
      <c r="Q170" s="69"/>
    </row>
    <row r="171" spans="1:17" ht="94.5" customHeight="1" x14ac:dyDescent="0.25">
      <c r="A171" s="284"/>
      <c r="B171" s="324"/>
      <c r="C171" s="70" t="s">
        <v>269</v>
      </c>
      <c r="D171" s="71">
        <v>8.8000000000000007</v>
      </c>
      <c r="E171" s="71">
        <v>6.3</v>
      </c>
      <c r="F171" s="72">
        <v>2.5</v>
      </c>
      <c r="G171" s="80">
        <f t="shared" si="9"/>
        <v>0.71590909090909083</v>
      </c>
      <c r="H171" s="70" t="s">
        <v>361</v>
      </c>
      <c r="I171" s="73" t="s">
        <v>19</v>
      </c>
      <c r="J171" s="74">
        <v>2</v>
      </c>
      <c r="K171" s="110">
        <v>1</v>
      </c>
      <c r="L171" s="76" t="s">
        <v>42</v>
      </c>
      <c r="M171" s="76" t="s">
        <v>15</v>
      </c>
      <c r="N171" s="76" t="s">
        <v>42</v>
      </c>
      <c r="O171" s="76" t="s">
        <v>15</v>
      </c>
      <c r="P171" s="70" t="s">
        <v>362</v>
      </c>
      <c r="Q171" s="127"/>
    </row>
    <row r="172" spans="1:17" ht="171.75" customHeight="1" thickBot="1" x14ac:dyDescent="0.3">
      <c r="A172" s="281"/>
      <c r="B172" s="283"/>
      <c r="C172" s="70"/>
      <c r="D172" s="71"/>
      <c r="E172" s="71"/>
      <c r="F172" s="72"/>
      <c r="G172" s="72"/>
      <c r="H172" s="70" t="s">
        <v>363</v>
      </c>
      <c r="I172" s="73" t="s">
        <v>19</v>
      </c>
      <c r="J172" s="74">
        <v>1</v>
      </c>
      <c r="K172" s="81">
        <v>1</v>
      </c>
      <c r="L172" s="76" t="s">
        <v>29</v>
      </c>
      <c r="M172" s="76" t="s">
        <v>15</v>
      </c>
      <c r="N172" s="76" t="s">
        <v>29</v>
      </c>
      <c r="O172" s="76" t="s">
        <v>15</v>
      </c>
      <c r="P172" s="70" t="s">
        <v>364</v>
      </c>
      <c r="Q172" s="84"/>
    </row>
    <row r="173" spans="1:17" ht="96.75" customHeight="1" x14ac:dyDescent="0.25">
      <c r="A173" s="280" t="s">
        <v>365</v>
      </c>
      <c r="B173" s="282" t="s">
        <v>366</v>
      </c>
      <c r="C173" s="61"/>
      <c r="D173" s="62">
        <f>SUM(D174:D174)</f>
        <v>5</v>
      </c>
      <c r="E173" s="62">
        <f>SUM(E174:E174)</f>
        <v>5</v>
      </c>
      <c r="F173" s="63"/>
      <c r="G173" s="79">
        <f t="shared" ref="G173:G182" si="10">SUM(E173/D173)</f>
        <v>1</v>
      </c>
      <c r="H173" s="212" t="s">
        <v>367</v>
      </c>
      <c r="I173" s="215" t="s">
        <v>19</v>
      </c>
      <c r="J173" s="218">
        <v>1</v>
      </c>
      <c r="K173" s="243">
        <v>1</v>
      </c>
      <c r="L173" s="68" t="s">
        <v>29</v>
      </c>
      <c r="M173" s="68" t="s">
        <v>15</v>
      </c>
      <c r="N173" s="68" t="s">
        <v>29</v>
      </c>
      <c r="O173" s="68" t="s">
        <v>15</v>
      </c>
      <c r="P173" s="212" t="s">
        <v>368</v>
      </c>
      <c r="Q173" s="227"/>
    </row>
    <row r="174" spans="1:17" ht="73.5" customHeight="1" thickBot="1" x14ac:dyDescent="0.3">
      <c r="A174" s="281"/>
      <c r="B174" s="283"/>
      <c r="C174" s="70" t="s">
        <v>269</v>
      </c>
      <c r="D174" s="71">
        <v>5</v>
      </c>
      <c r="E174" s="71">
        <v>5</v>
      </c>
      <c r="F174" s="72"/>
      <c r="G174" s="125">
        <f t="shared" si="10"/>
        <v>1</v>
      </c>
      <c r="H174" s="214"/>
      <c r="I174" s="217"/>
      <c r="J174" s="220"/>
      <c r="K174" s="245"/>
      <c r="L174" s="76"/>
      <c r="M174" s="76"/>
      <c r="N174" s="76"/>
      <c r="O174" s="76"/>
      <c r="P174" s="214"/>
      <c r="Q174" s="229"/>
    </row>
    <row r="175" spans="1:17" ht="32.25" thickBot="1" x14ac:dyDescent="0.3">
      <c r="A175" s="53" t="s">
        <v>369</v>
      </c>
      <c r="B175" s="54" t="s">
        <v>370</v>
      </c>
      <c r="C175" s="55"/>
      <c r="D175" s="56">
        <f t="shared" ref="D175:F176" si="11">SUM(D176:D176)</f>
        <v>5</v>
      </c>
      <c r="E175" s="56">
        <f t="shared" si="11"/>
        <v>4.5</v>
      </c>
      <c r="F175" s="56">
        <f t="shared" si="11"/>
        <v>0.5</v>
      </c>
      <c r="G175" s="57">
        <f t="shared" si="10"/>
        <v>0.9</v>
      </c>
      <c r="H175" s="55"/>
      <c r="I175" s="58"/>
      <c r="J175" s="59"/>
      <c r="K175" s="59"/>
      <c r="L175" s="60"/>
      <c r="M175" s="60"/>
      <c r="N175" s="60"/>
      <c r="O175" s="60"/>
      <c r="P175" s="210"/>
      <c r="Q175" s="211"/>
    </row>
    <row r="176" spans="1:17" ht="165.75" customHeight="1" x14ac:dyDescent="0.25">
      <c r="A176" s="280" t="s">
        <v>371</v>
      </c>
      <c r="B176" s="282" t="s">
        <v>372</v>
      </c>
      <c r="C176" s="61"/>
      <c r="D176" s="62">
        <f t="shared" si="11"/>
        <v>5</v>
      </c>
      <c r="E176" s="62">
        <f t="shared" si="11"/>
        <v>4.5</v>
      </c>
      <c r="F176" s="63">
        <f t="shared" si="11"/>
        <v>0.5</v>
      </c>
      <c r="G176" s="79">
        <f t="shared" si="10"/>
        <v>0.9</v>
      </c>
      <c r="H176" s="212" t="s">
        <v>373</v>
      </c>
      <c r="I176" s="215" t="s">
        <v>14</v>
      </c>
      <c r="J176" s="218">
        <v>10</v>
      </c>
      <c r="K176" s="243">
        <v>10</v>
      </c>
      <c r="L176" s="68" t="s">
        <v>114</v>
      </c>
      <c r="M176" s="68" t="s">
        <v>15</v>
      </c>
      <c r="N176" s="68" t="s">
        <v>114</v>
      </c>
      <c r="O176" s="68" t="s">
        <v>15</v>
      </c>
      <c r="P176" s="212" t="s">
        <v>374</v>
      </c>
      <c r="Q176" s="227"/>
    </row>
    <row r="177" spans="1:21" ht="79.5" customHeight="1" thickBot="1" x14ac:dyDescent="0.3">
      <c r="A177" s="281"/>
      <c r="B177" s="283"/>
      <c r="C177" s="70" t="s">
        <v>269</v>
      </c>
      <c r="D177" s="71">
        <v>5</v>
      </c>
      <c r="E177" s="71">
        <v>4.5</v>
      </c>
      <c r="F177" s="72">
        <v>0.5</v>
      </c>
      <c r="G177" s="125">
        <f t="shared" si="10"/>
        <v>0.9</v>
      </c>
      <c r="H177" s="214"/>
      <c r="I177" s="217"/>
      <c r="J177" s="220"/>
      <c r="K177" s="245"/>
      <c r="L177" s="76"/>
      <c r="M177" s="76"/>
      <c r="N177" s="76"/>
      <c r="O177" s="76"/>
      <c r="P177" s="214"/>
      <c r="Q177" s="229"/>
    </row>
    <row r="178" spans="1:21" ht="63.75" thickBot="1" x14ac:dyDescent="0.3">
      <c r="A178" s="53" t="s">
        <v>375</v>
      </c>
      <c r="B178" s="54" t="s">
        <v>376</v>
      </c>
      <c r="C178" s="55"/>
      <c r="D178" s="56">
        <f>SUM(D179:D179)</f>
        <v>35</v>
      </c>
      <c r="E178" s="56"/>
      <c r="F178" s="56">
        <f>SUM(F179:F179)</f>
        <v>35</v>
      </c>
      <c r="G178" s="57">
        <f t="shared" si="10"/>
        <v>0</v>
      </c>
      <c r="H178" s="55"/>
      <c r="I178" s="58"/>
      <c r="J178" s="59"/>
      <c r="K178" s="59"/>
      <c r="L178" s="60"/>
      <c r="M178" s="60"/>
      <c r="N178" s="60"/>
      <c r="O178" s="60"/>
      <c r="P178" s="210"/>
      <c r="Q178" s="211"/>
    </row>
    <row r="179" spans="1:21" ht="93.75" customHeight="1" thickBot="1" x14ac:dyDescent="0.3">
      <c r="A179" s="93" t="s">
        <v>377</v>
      </c>
      <c r="B179" s="94" t="s">
        <v>378</v>
      </c>
      <c r="C179" s="61" t="s">
        <v>27</v>
      </c>
      <c r="D179" s="95">
        <v>35</v>
      </c>
      <c r="E179" s="95"/>
      <c r="F179" s="96">
        <v>35</v>
      </c>
      <c r="G179" s="79">
        <f t="shared" si="10"/>
        <v>0</v>
      </c>
      <c r="H179" s="61" t="s">
        <v>379</v>
      </c>
      <c r="I179" s="65" t="s">
        <v>19</v>
      </c>
      <c r="J179" s="66">
        <v>1</v>
      </c>
      <c r="K179" s="128">
        <v>0</v>
      </c>
      <c r="L179" s="68"/>
      <c r="M179" s="68"/>
      <c r="N179" s="68"/>
      <c r="O179" s="68"/>
      <c r="P179" s="129"/>
      <c r="Q179" s="69" t="s">
        <v>1850</v>
      </c>
    </row>
    <row r="180" spans="1:21" ht="145.5" customHeight="1" thickBot="1" x14ac:dyDescent="0.3">
      <c r="A180" s="45" t="s">
        <v>380</v>
      </c>
      <c r="B180" s="46" t="s">
        <v>381</v>
      </c>
      <c r="C180" s="47"/>
      <c r="D180" s="48">
        <f t="shared" ref="D180:F181" si="12">SUM(D181:D181)</f>
        <v>15</v>
      </c>
      <c r="E180" s="48">
        <f t="shared" si="12"/>
        <v>12.8</v>
      </c>
      <c r="F180" s="48">
        <f t="shared" si="12"/>
        <v>2.2000000000000002</v>
      </c>
      <c r="G180" s="49">
        <f t="shared" si="10"/>
        <v>0.85333333333333339</v>
      </c>
      <c r="H180" s="47" t="s">
        <v>382</v>
      </c>
      <c r="I180" s="50" t="s">
        <v>19</v>
      </c>
      <c r="J180" s="51">
        <v>16</v>
      </c>
      <c r="K180" s="50">
        <v>17</v>
      </c>
      <c r="L180" s="47"/>
      <c r="M180" s="47"/>
      <c r="N180" s="47"/>
      <c r="O180" s="47"/>
      <c r="P180" s="230"/>
      <c r="Q180" s="231"/>
    </row>
    <row r="181" spans="1:21" ht="48" thickBot="1" x14ac:dyDescent="0.3">
      <c r="A181" s="53" t="s">
        <v>384</v>
      </c>
      <c r="B181" s="54" t="s">
        <v>385</v>
      </c>
      <c r="C181" s="55"/>
      <c r="D181" s="56">
        <f t="shared" si="12"/>
        <v>15</v>
      </c>
      <c r="E181" s="56">
        <f t="shared" si="12"/>
        <v>12.8</v>
      </c>
      <c r="F181" s="56">
        <f t="shared" si="12"/>
        <v>2.2000000000000002</v>
      </c>
      <c r="G181" s="57">
        <f t="shared" si="10"/>
        <v>0.85333333333333339</v>
      </c>
      <c r="H181" s="55"/>
      <c r="I181" s="58"/>
      <c r="J181" s="59"/>
      <c r="K181" s="59"/>
      <c r="L181" s="60"/>
      <c r="M181" s="60"/>
      <c r="N181" s="60"/>
      <c r="O181" s="60"/>
      <c r="P181" s="210"/>
      <c r="Q181" s="211"/>
    </row>
    <row r="182" spans="1:21" ht="105" customHeight="1" x14ac:dyDescent="0.25">
      <c r="A182" s="280" t="s">
        <v>386</v>
      </c>
      <c r="B182" s="282" t="s">
        <v>387</v>
      </c>
      <c r="C182" s="61" t="s">
        <v>27</v>
      </c>
      <c r="D182" s="62">
        <f>SUM(D183:D184)+15</f>
        <v>15</v>
      </c>
      <c r="E182" s="62">
        <f>SUM(E183:E184)+12.8</f>
        <v>12.8</v>
      </c>
      <c r="F182" s="63">
        <f>SUM(F183:F184)+2.2</f>
        <v>2.2000000000000002</v>
      </c>
      <c r="G182" s="79">
        <f t="shared" si="10"/>
        <v>0.85333333333333339</v>
      </c>
      <c r="H182" s="61" t="s">
        <v>388</v>
      </c>
      <c r="I182" s="65" t="s">
        <v>19</v>
      </c>
      <c r="J182" s="66">
        <v>5</v>
      </c>
      <c r="K182" s="109">
        <v>6</v>
      </c>
      <c r="L182" s="68" t="s">
        <v>58</v>
      </c>
      <c r="M182" s="68" t="s">
        <v>15</v>
      </c>
      <c r="N182" s="68" t="s">
        <v>58</v>
      </c>
      <c r="O182" s="68" t="s">
        <v>15</v>
      </c>
      <c r="P182" s="61" t="s">
        <v>1851</v>
      </c>
      <c r="Q182" s="69" t="s">
        <v>1852</v>
      </c>
    </row>
    <row r="183" spans="1:21" ht="63" x14ac:dyDescent="0.25">
      <c r="A183" s="284"/>
      <c r="B183" s="324"/>
      <c r="C183" s="70"/>
      <c r="D183" s="71"/>
      <c r="E183" s="71"/>
      <c r="F183" s="72"/>
      <c r="G183" s="72"/>
      <c r="H183" s="70" t="s">
        <v>389</v>
      </c>
      <c r="I183" s="73" t="s">
        <v>19</v>
      </c>
      <c r="J183" s="74">
        <v>11</v>
      </c>
      <c r="K183" s="81">
        <v>11</v>
      </c>
      <c r="L183" s="76" t="s">
        <v>135</v>
      </c>
      <c r="M183" s="76" t="s">
        <v>15</v>
      </c>
      <c r="N183" s="76" t="s">
        <v>135</v>
      </c>
      <c r="O183" s="76" t="s">
        <v>15</v>
      </c>
      <c r="P183" s="70" t="s">
        <v>390</v>
      </c>
      <c r="Q183" s="77"/>
    </row>
    <row r="184" spans="1:21" ht="95.25" customHeight="1" thickBot="1" x14ac:dyDescent="0.3">
      <c r="A184" s="281"/>
      <c r="B184" s="283"/>
      <c r="C184" s="70"/>
      <c r="D184" s="71"/>
      <c r="E184" s="71"/>
      <c r="F184" s="72"/>
      <c r="G184" s="72"/>
      <c r="H184" s="70" t="s">
        <v>391</v>
      </c>
      <c r="I184" s="73" t="s">
        <v>19</v>
      </c>
      <c r="J184" s="74">
        <v>3</v>
      </c>
      <c r="K184" s="81">
        <v>3</v>
      </c>
      <c r="L184" s="76" t="s">
        <v>59</v>
      </c>
      <c r="M184" s="76" t="s">
        <v>15</v>
      </c>
      <c r="N184" s="76" t="s">
        <v>59</v>
      </c>
      <c r="O184" s="76" t="s">
        <v>15</v>
      </c>
      <c r="P184" s="70" t="s">
        <v>1853</v>
      </c>
      <c r="Q184" s="124" t="s">
        <v>1781</v>
      </c>
    </row>
    <row r="185" spans="1:21" ht="79.5" thickBot="1" x14ac:dyDescent="0.3">
      <c r="A185" s="37" t="s">
        <v>392</v>
      </c>
      <c r="B185" s="38" t="s">
        <v>393</v>
      </c>
      <c r="C185" s="39"/>
      <c r="D185" s="40">
        <f>D186+D253</f>
        <v>32190.899999999998</v>
      </c>
      <c r="E185" s="40">
        <f>E186+E253</f>
        <v>26701.7</v>
      </c>
      <c r="F185" s="40">
        <f>F186+F253</f>
        <v>5489.2</v>
      </c>
      <c r="G185" s="41">
        <f t="shared" ref="G185:G191" si="13">SUM(E185/D185)</f>
        <v>0.82947975980789612</v>
      </c>
      <c r="H185" s="39"/>
      <c r="I185" s="42"/>
      <c r="J185" s="43"/>
      <c r="K185" s="130"/>
      <c r="L185" s="44"/>
      <c r="M185" s="44"/>
      <c r="N185" s="44"/>
      <c r="O185" s="44"/>
      <c r="P185" s="267"/>
      <c r="Q185" s="268"/>
    </row>
    <row r="186" spans="1:21" ht="136.5" customHeight="1" thickBot="1" x14ac:dyDescent="0.3">
      <c r="A186" s="45" t="s">
        <v>394</v>
      </c>
      <c r="B186" s="46" t="s">
        <v>395</v>
      </c>
      <c r="C186" s="47"/>
      <c r="D186" s="48">
        <f>D187+D194+D203+D206+0.1</f>
        <v>20177.099999999999</v>
      </c>
      <c r="E186" s="48">
        <f>E187+E194+E203+E206</f>
        <v>17023.400000000001</v>
      </c>
      <c r="F186" s="48">
        <f>F187+F194+F203+F206+0.1</f>
        <v>3153.7</v>
      </c>
      <c r="G186" s="49">
        <f t="shared" si="13"/>
        <v>0.84369904495690673</v>
      </c>
      <c r="H186" s="47" t="s">
        <v>396</v>
      </c>
      <c r="I186" s="50" t="s">
        <v>14</v>
      </c>
      <c r="J186" s="51">
        <v>100</v>
      </c>
      <c r="K186" s="50">
        <v>100</v>
      </c>
      <c r="L186" s="47"/>
      <c r="M186" s="47"/>
      <c r="N186" s="47"/>
      <c r="O186" s="47"/>
      <c r="P186" s="230"/>
      <c r="Q186" s="231"/>
      <c r="S186" s="3"/>
      <c r="T186" s="10" t="s">
        <v>1</v>
      </c>
      <c r="U186" s="10" t="s">
        <v>1551</v>
      </c>
    </row>
    <row r="187" spans="1:21" ht="63.75" thickBot="1" x14ac:dyDescent="0.3">
      <c r="A187" s="53" t="s">
        <v>397</v>
      </c>
      <c r="B187" s="54" t="s">
        <v>398</v>
      </c>
      <c r="C187" s="55"/>
      <c r="D187" s="56">
        <f>D188+D193</f>
        <v>5996.9</v>
      </c>
      <c r="E187" s="56">
        <f>E188+E193+0.1</f>
        <v>5826.2000000000007</v>
      </c>
      <c r="F187" s="56">
        <f>F188+F193-0.1</f>
        <v>170.70000000000002</v>
      </c>
      <c r="G187" s="57">
        <f t="shared" si="13"/>
        <v>0.97153529323483823</v>
      </c>
      <c r="H187" s="55"/>
      <c r="I187" s="58"/>
      <c r="J187" s="59"/>
      <c r="K187" s="59"/>
      <c r="L187" s="60"/>
      <c r="M187" s="60"/>
      <c r="N187" s="60"/>
      <c r="O187" s="60"/>
      <c r="P187" s="210"/>
      <c r="Q187" s="211"/>
      <c r="S187" s="7"/>
      <c r="T187" s="14" t="s">
        <v>1552</v>
      </c>
      <c r="U187" s="11">
        <v>11</v>
      </c>
    </row>
    <row r="188" spans="1:21" ht="348" customHeight="1" x14ac:dyDescent="0.25">
      <c r="A188" s="280" t="s">
        <v>399</v>
      </c>
      <c r="B188" s="282" t="s">
        <v>400</v>
      </c>
      <c r="C188" s="61"/>
      <c r="D188" s="62">
        <f>SUM(D189:D192)</f>
        <v>5846.9</v>
      </c>
      <c r="E188" s="62">
        <f>SUM(E189:E192)</f>
        <v>5711.1</v>
      </c>
      <c r="F188" s="63">
        <f>SUM(F189:F192)</f>
        <v>135.80000000000001</v>
      </c>
      <c r="G188" s="79">
        <f t="shared" si="13"/>
        <v>0.97677401700046196</v>
      </c>
      <c r="H188" s="61" t="s">
        <v>401</v>
      </c>
      <c r="I188" s="65" t="s">
        <v>14</v>
      </c>
      <c r="J188" s="66">
        <v>100</v>
      </c>
      <c r="K188" s="89">
        <v>100</v>
      </c>
      <c r="L188" s="68" t="s">
        <v>54</v>
      </c>
      <c r="M188" s="68" t="s">
        <v>15</v>
      </c>
      <c r="N188" s="68" t="s">
        <v>54</v>
      </c>
      <c r="O188" s="68" t="s">
        <v>15</v>
      </c>
      <c r="P188" s="61" t="s">
        <v>1618</v>
      </c>
      <c r="Q188" s="90"/>
      <c r="S188" s="4"/>
      <c r="T188" s="14" t="s">
        <v>1556</v>
      </c>
      <c r="U188" s="11">
        <v>1</v>
      </c>
    </row>
    <row r="189" spans="1:21" ht="240" customHeight="1" x14ac:dyDescent="0.25">
      <c r="A189" s="284"/>
      <c r="B189" s="324"/>
      <c r="C189" s="70" t="s">
        <v>27</v>
      </c>
      <c r="D189" s="71">
        <v>5511.9</v>
      </c>
      <c r="E189" s="71">
        <v>5401.1</v>
      </c>
      <c r="F189" s="72">
        <v>110.8</v>
      </c>
      <c r="G189" s="80">
        <f t="shared" si="13"/>
        <v>0.97989803878880255</v>
      </c>
      <c r="H189" s="70" t="s">
        <v>402</v>
      </c>
      <c r="I189" s="73" t="s">
        <v>14</v>
      </c>
      <c r="J189" s="74">
        <v>100</v>
      </c>
      <c r="K189" s="81">
        <v>100</v>
      </c>
      <c r="L189" s="76" t="s">
        <v>54</v>
      </c>
      <c r="M189" s="76" t="s">
        <v>15</v>
      </c>
      <c r="N189" s="76" t="s">
        <v>54</v>
      </c>
      <c r="O189" s="76" t="s">
        <v>15</v>
      </c>
      <c r="P189" s="70" t="s">
        <v>1619</v>
      </c>
      <c r="Q189" s="84"/>
      <c r="S189" s="6"/>
      <c r="T189" s="14" t="s">
        <v>1557</v>
      </c>
      <c r="U189" s="11">
        <v>8</v>
      </c>
    </row>
    <row r="190" spans="1:21" ht="78.75" x14ac:dyDescent="0.25">
      <c r="A190" s="284"/>
      <c r="B190" s="324"/>
      <c r="C190" s="70" t="s">
        <v>403</v>
      </c>
      <c r="D190" s="71">
        <v>310</v>
      </c>
      <c r="E190" s="71">
        <v>310</v>
      </c>
      <c r="F190" s="72"/>
      <c r="G190" s="80">
        <f t="shared" si="13"/>
        <v>1</v>
      </c>
      <c r="H190" s="70" t="s">
        <v>404</v>
      </c>
      <c r="I190" s="73" t="s">
        <v>19</v>
      </c>
      <c r="J190" s="74">
        <v>1</v>
      </c>
      <c r="K190" s="75">
        <v>0</v>
      </c>
      <c r="L190" s="76"/>
      <c r="M190" s="76"/>
      <c r="N190" s="76"/>
      <c r="O190" s="76"/>
      <c r="P190" s="70" t="s">
        <v>1620</v>
      </c>
      <c r="Q190" s="77" t="s">
        <v>1621</v>
      </c>
      <c r="S190" s="9"/>
      <c r="T190" s="14" t="s">
        <v>1555</v>
      </c>
      <c r="U190" s="19">
        <v>5</v>
      </c>
    </row>
    <row r="191" spans="1:21" ht="47.25" x14ac:dyDescent="0.25">
      <c r="A191" s="284"/>
      <c r="B191" s="324"/>
      <c r="C191" s="70" t="s">
        <v>37</v>
      </c>
      <c r="D191" s="71">
        <v>25</v>
      </c>
      <c r="E191" s="71"/>
      <c r="F191" s="72">
        <v>25</v>
      </c>
      <c r="G191" s="80">
        <f t="shared" si="13"/>
        <v>0</v>
      </c>
      <c r="H191" s="70" t="s">
        <v>405</v>
      </c>
      <c r="I191" s="73" t="s">
        <v>19</v>
      </c>
      <c r="J191" s="74">
        <v>12</v>
      </c>
      <c r="K191" s="75">
        <v>0</v>
      </c>
      <c r="L191" s="76"/>
      <c r="M191" s="76"/>
      <c r="N191" s="76"/>
      <c r="O191" s="76"/>
      <c r="P191" s="70"/>
      <c r="Q191" s="124" t="s">
        <v>1622</v>
      </c>
      <c r="S191" s="8"/>
      <c r="T191" s="14" t="s">
        <v>1553</v>
      </c>
      <c r="U191" s="13">
        <v>1</v>
      </c>
    </row>
    <row r="192" spans="1:21" ht="82.5" customHeight="1" thickBot="1" x14ac:dyDescent="0.3">
      <c r="A192" s="281"/>
      <c r="B192" s="283"/>
      <c r="C192" s="70"/>
      <c r="D192" s="71"/>
      <c r="E192" s="71"/>
      <c r="F192" s="72"/>
      <c r="G192" s="91"/>
      <c r="H192" s="70" t="s">
        <v>406</v>
      </c>
      <c r="I192" s="73" t="s">
        <v>87</v>
      </c>
      <c r="J192" s="74">
        <v>1.2</v>
      </c>
      <c r="K192" s="102">
        <v>2</v>
      </c>
      <c r="L192" s="76"/>
      <c r="M192" s="76"/>
      <c r="N192" s="76"/>
      <c r="O192" s="76"/>
      <c r="P192" s="131" t="s">
        <v>1827</v>
      </c>
      <c r="Q192" s="127"/>
      <c r="S192" s="16"/>
      <c r="T192" s="17" t="s">
        <v>1554</v>
      </c>
      <c r="U192" s="13">
        <v>26</v>
      </c>
    </row>
    <row r="193" spans="1:17" ht="143.25" customHeight="1" thickBot="1" x14ac:dyDescent="0.3">
      <c r="A193" s="93" t="s">
        <v>407</v>
      </c>
      <c r="B193" s="94" t="s">
        <v>408</v>
      </c>
      <c r="C193" s="61" t="s">
        <v>27</v>
      </c>
      <c r="D193" s="95">
        <v>150</v>
      </c>
      <c r="E193" s="95">
        <v>115</v>
      </c>
      <c r="F193" s="96">
        <v>35</v>
      </c>
      <c r="G193" s="79">
        <f>SUM(E193/D193)</f>
        <v>0.76666666666666672</v>
      </c>
      <c r="H193" s="61" t="s">
        <v>409</v>
      </c>
      <c r="I193" s="65" t="s">
        <v>19</v>
      </c>
      <c r="J193" s="66">
        <v>20</v>
      </c>
      <c r="K193" s="112">
        <v>41</v>
      </c>
      <c r="L193" s="68" t="s">
        <v>54</v>
      </c>
      <c r="M193" s="68" t="s">
        <v>15</v>
      </c>
      <c r="N193" s="68" t="s">
        <v>54</v>
      </c>
      <c r="O193" s="68" t="s">
        <v>15</v>
      </c>
      <c r="P193" s="61" t="s">
        <v>1569</v>
      </c>
      <c r="Q193" s="132" t="s">
        <v>1623</v>
      </c>
    </row>
    <row r="194" spans="1:17" ht="48" thickBot="1" x14ac:dyDescent="0.3">
      <c r="A194" s="53" t="s">
        <v>410</v>
      </c>
      <c r="B194" s="54" t="s">
        <v>411</v>
      </c>
      <c r="C194" s="55"/>
      <c r="D194" s="56">
        <f>D195+D197+D200</f>
        <v>682</v>
      </c>
      <c r="E194" s="56">
        <f>E195+E197+E200</f>
        <v>623.6</v>
      </c>
      <c r="F194" s="56">
        <f>F195+F197+F200</f>
        <v>58.400000000000006</v>
      </c>
      <c r="G194" s="57">
        <f>SUM(E194/D194)</f>
        <v>0.91436950146627571</v>
      </c>
      <c r="H194" s="55"/>
      <c r="I194" s="58"/>
      <c r="J194" s="59"/>
      <c r="K194" s="59"/>
      <c r="L194" s="60"/>
      <c r="M194" s="60"/>
      <c r="N194" s="60"/>
      <c r="O194" s="60"/>
      <c r="P194" s="55"/>
      <c r="Q194" s="119"/>
    </row>
    <row r="195" spans="1:17" ht="72" customHeight="1" x14ac:dyDescent="0.25">
      <c r="A195" s="280" t="s">
        <v>412</v>
      </c>
      <c r="B195" s="282" t="s">
        <v>413</v>
      </c>
      <c r="C195" s="61" t="s">
        <v>27</v>
      </c>
      <c r="D195" s="62">
        <f>SUM(D196:D196)+94.6</f>
        <v>94.6</v>
      </c>
      <c r="E195" s="62">
        <f>SUM(E196:E196)+94.5</f>
        <v>94.5</v>
      </c>
      <c r="F195" s="63">
        <f>SUM(F196:F196)+0.1</f>
        <v>0.1</v>
      </c>
      <c r="G195" s="79">
        <f>SUM(E195/D195)</f>
        <v>0.99894291754756881</v>
      </c>
      <c r="H195" s="61" t="s">
        <v>414</v>
      </c>
      <c r="I195" s="65" t="s">
        <v>19</v>
      </c>
      <c r="J195" s="66">
        <v>1</v>
      </c>
      <c r="K195" s="67">
        <v>0</v>
      </c>
      <c r="L195" s="68" t="s">
        <v>29</v>
      </c>
      <c r="M195" s="68" t="s">
        <v>15</v>
      </c>
      <c r="N195" s="68" t="s">
        <v>29</v>
      </c>
      <c r="O195" s="68" t="s">
        <v>15</v>
      </c>
      <c r="P195" s="133"/>
      <c r="Q195" s="134"/>
    </row>
    <row r="196" spans="1:17" ht="91.5" customHeight="1" thickBot="1" x14ac:dyDescent="0.3">
      <c r="A196" s="281"/>
      <c r="B196" s="283"/>
      <c r="C196" s="70"/>
      <c r="D196" s="71"/>
      <c r="E196" s="71"/>
      <c r="F196" s="72"/>
      <c r="G196" s="72"/>
      <c r="H196" s="70" t="s">
        <v>415</v>
      </c>
      <c r="I196" s="73" t="s">
        <v>416</v>
      </c>
      <c r="J196" s="74">
        <v>0.5</v>
      </c>
      <c r="K196" s="135">
        <v>0.5</v>
      </c>
      <c r="L196" s="76" t="s">
        <v>120</v>
      </c>
      <c r="M196" s="76" t="s">
        <v>15</v>
      </c>
      <c r="N196" s="76" t="s">
        <v>120</v>
      </c>
      <c r="O196" s="76" t="s">
        <v>15</v>
      </c>
      <c r="P196" s="136" t="s">
        <v>417</v>
      </c>
      <c r="Q196" s="84"/>
    </row>
    <row r="197" spans="1:17" ht="78.75" x14ac:dyDescent="0.25">
      <c r="A197" s="280" t="s">
        <v>418</v>
      </c>
      <c r="B197" s="282" t="s">
        <v>419</v>
      </c>
      <c r="C197" s="61"/>
      <c r="D197" s="62">
        <f>SUM(D198:D199)</f>
        <v>187.4</v>
      </c>
      <c r="E197" s="62">
        <f>SUM(E198:E199)</f>
        <v>157.80000000000001</v>
      </c>
      <c r="F197" s="63">
        <f>SUM(F198:F199)-0.1</f>
        <v>29.6</v>
      </c>
      <c r="G197" s="79">
        <f t="shared" ref="G197:G202" si="14">SUM(E197/D197)</f>
        <v>0.84204909284951979</v>
      </c>
      <c r="H197" s="61" t="s">
        <v>420</v>
      </c>
      <c r="I197" s="65" t="s">
        <v>14</v>
      </c>
      <c r="J197" s="66">
        <v>100</v>
      </c>
      <c r="K197" s="89">
        <v>100</v>
      </c>
      <c r="L197" s="68" t="s">
        <v>54</v>
      </c>
      <c r="M197" s="68" t="s">
        <v>15</v>
      </c>
      <c r="N197" s="68" t="s">
        <v>54</v>
      </c>
      <c r="O197" s="68" t="s">
        <v>15</v>
      </c>
      <c r="P197" s="61"/>
      <c r="Q197" s="90"/>
    </row>
    <row r="198" spans="1:17" ht="45" customHeight="1" x14ac:dyDescent="0.25">
      <c r="A198" s="284"/>
      <c r="B198" s="324"/>
      <c r="C198" s="70" t="s">
        <v>37</v>
      </c>
      <c r="D198" s="71">
        <v>157.4</v>
      </c>
      <c r="E198" s="71">
        <v>151.9</v>
      </c>
      <c r="F198" s="72">
        <v>5.6</v>
      </c>
      <c r="G198" s="80">
        <f t="shared" si="14"/>
        <v>0.96505717916137235</v>
      </c>
      <c r="H198" s="246" t="s">
        <v>421</v>
      </c>
      <c r="I198" s="247" t="s">
        <v>14</v>
      </c>
      <c r="J198" s="362">
        <v>0</v>
      </c>
      <c r="K198" s="364">
        <v>100</v>
      </c>
      <c r="L198" s="76" t="s">
        <v>54</v>
      </c>
      <c r="M198" s="76" t="s">
        <v>15</v>
      </c>
      <c r="N198" s="76"/>
      <c r="O198" s="76"/>
      <c r="P198" s="246" t="s">
        <v>422</v>
      </c>
      <c r="Q198" s="366" t="s">
        <v>1624</v>
      </c>
    </row>
    <row r="199" spans="1:17" ht="37.5" customHeight="1" thickBot="1" x14ac:dyDescent="0.3">
      <c r="A199" s="281"/>
      <c r="B199" s="283"/>
      <c r="C199" s="70" t="s">
        <v>169</v>
      </c>
      <c r="D199" s="71">
        <v>30</v>
      </c>
      <c r="E199" s="71">
        <v>5.9</v>
      </c>
      <c r="F199" s="72">
        <v>24.1</v>
      </c>
      <c r="G199" s="91">
        <f t="shared" si="14"/>
        <v>0.19666666666666668</v>
      </c>
      <c r="H199" s="214"/>
      <c r="I199" s="217"/>
      <c r="J199" s="363"/>
      <c r="K199" s="365"/>
      <c r="L199" s="76"/>
      <c r="M199" s="76"/>
      <c r="N199" s="76"/>
      <c r="O199" s="76"/>
      <c r="P199" s="214"/>
      <c r="Q199" s="263"/>
    </row>
    <row r="200" spans="1:17" ht="180" customHeight="1" x14ac:dyDescent="0.25">
      <c r="A200" s="280" t="s">
        <v>423</v>
      </c>
      <c r="B200" s="282" t="s">
        <v>424</v>
      </c>
      <c r="C200" s="61"/>
      <c r="D200" s="62">
        <f>SUM(D201:D202)</f>
        <v>400</v>
      </c>
      <c r="E200" s="62">
        <f>SUM(E201:E202)</f>
        <v>371.3</v>
      </c>
      <c r="F200" s="63">
        <f>SUM(F201:F202)</f>
        <v>28.7</v>
      </c>
      <c r="G200" s="79">
        <f t="shared" si="14"/>
        <v>0.92825000000000002</v>
      </c>
      <c r="H200" s="212" t="s">
        <v>425</v>
      </c>
      <c r="I200" s="215" t="s">
        <v>14</v>
      </c>
      <c r="J200" s="218">
        <v>84</v>
      </c>
      <c r="K200" s="243">
        <v>84</v>
      </c>
      <c r="L200" s="68" t="s">
        <v>54</v>
      </c>
      <c r="M200" s="68" t="s">
        <v>15</v>
      </c>
      <c r="N200" s="68"/>
      <c r="O200" s="68"/>
      <c r="P200" s="212" t="s">
        <v>1625</v>
      </c>
      <c r="Q200" s="227" t="s">
        <v>1626</v>
      </c>
    </row>
    <row r="201" spans="1:17" ht="29.25" customHeight="1" x14ac:dyDescent="0.25">
      <c r="A201" s="284"/>
      <c r="B201" s="324"/>
      <c r="C201" s="70" t="s">
        <v>37</v>
      </c>
      <c r="D201" s="71">
        <v>34</v>
      </c>
      <c r="E201" s="71">
        <v>5.3</v>
      </c>
      <c r="F201" s="72">
        <v>28.7</v>
      </c>
      <c r="G201" s="80">
        <f t="shared" si="14"/>
        <v>0.15588235294117647</v>
      </c>
      <c r="H201" s="213"/>
      <c r="I201" s="216"/>
      <c r="J201" s="219"/>
      <c r="K201" s="244"/>
      <c r="L201" s="76"/>
      <c r="M201" s="76"/>
      <c r="N201" s="76"/>
      <c r="O201" s="76"/>
      <c r="P201" s="213"/>
      <c r="Q201" s="228"/>
    </row>
    <row r="202" spans="1:17" ht="35.25" customHeight="1" thickBot="1" x14ac:dyDescent="0.3">
      <c r="A202" s="281"/>
      <c r="B202" s="283"/>
      <c r="C202" s="70" t="s">
        <v>426</v>
      </c>
      <c r="D202" s="71">
        <v>366</v>
      </c>
      <c r="E202" s="71">
        <v>366</v>
      </c>
      <c r="F202" s="72">
        <v>0</v>
      </c>
      <c r="G202" s="91">
        <f t="shared" si="14"/>
        <v>1</v>
      </c>
      <c r="H202" s="214"/>
      <c r="I202" s="217"/>
      <c r="J202" s="220"/>
      <c r="K202" s="245"/>
      <c r="L202" s="76"/>
      <c r="M202" s="76"/>
      <c r="N202" s="76"/>
      <c r="O202" s="76"/>
      <c r="P202" s="214"/>
      <c r="Q202" s="229"/>
    </row>
    <row r="203" spans="1:17" ht="38.25" hidden="1" customHeight="1" thickBot="1" x14ac:dyDescent="0.3">
      <c r="A203" s="53" t="s">
        <v>427</v>
      </c>
      <c r="B203" s="54" t="s">
        <v>428</v>
      </c>
      <c r="C203" s="55"/>
      <c r="D203" s="56">
        <f>SUM(D204:D205)</f>
        <v>0</v>
      </c>
      <c r="E203" s="56">
        <f>SUM(E204:E205)</f>
        <v>0</v>
      </c>
      <c r="F203" s="56">
        <f>SUM(F204:F205)</f>
        <v>0</v>
      </c>
      <c r="G203" s="57"/>
      <c r="H203" s="55"/>
      <c r="I203" s="58"/>
      <c r="J203" s="59"/>
      <c r="K203" s="59"/>
      <c r="L203" s="60"/>
      <c r="M203" s="60"/>
      <c r="N203" s="60"/>
      <c r="O203" s="60"/>
      <c r="P203" s="55"/>
      <c r="Q203" s="119"/>
    </row>
    <row r="204" spans="1:17" ht="43.5" hidden="1" customHeight="1" thickBot="1" x14ac:dyDescent="0.3">
      <c r="A204" s="93" t="s">
        <v>429</v>
      </c>
      <c r="B204" s="94" t="s">
        <v>430</v>
      </c>
      <c r="C204" s="61"/>
      <c r="D204" s="95"/>
      <c r="E204" s="95"/>
      <c r="F204" s="96"/>
      <c r="G204" s="96"/>
      <c r="H204" s="61" t="s">
        <v>431</v>
      </c>
      <c r="I204" s="65" t="s">
        <v>19</v>
      </c>
      <c r="J204" s="98"/>
      <c r="K204" s="98"/>
      <c r="L204" s="68"/>
      <c r="M204" s="68"/>
      <c r="N204" s="68" t="s">
        <v>146</v>
      </c>
      <c r="O204" s="68" t="s">
        <v>15</v>
      </c>
      <c r="P204" s="61" t="s">
        <v>432</v>
      </c>
      <c r="Q204" s="69"/>
    </row>
    <row r="205" spans="1:17" ht="72.75" hidden="1" customHeight="1" thickBot="1" x14ac:dyDescent="0.3">
      <c r="A205" s="93" t="s">
        <v>433</v>
      </c>
      <c r="B205" s="94" t="s">
        <v>434</v>
      </c>
      <c r="C205" s="61"/>
      <c r="D205" s="95"/>
      <c r="E205" s="95"/>
      <c r="F205" s="96"/>
      <c r="G205" s="96"/>
      <c r="H205" s="61" t="s">
        <v>435</v>
      </c>
      <c r="I205" s="65" t="s">
        <v>19</v>
      </c>
      <c r="J205" s="98"/>
      <c r="K205" s="98"/>
      <c r="L205" s="68"/>
      <c r="M205" s="68"/>
      <c r="N205" s="68" t="s">
        <v>29</v>
      </c>
      <c r="O205" s="68" t="s">
        <v>15</v>
      </c>
      <c r="P205" s="61"/>
      <c r="Q205" s="69"/>
    </row>
    <row r="206" spans="1:17" ht="45" customHeight="1" thickBot="1" x14ac:dyDescent="0.3">
      <c r="A206" s="53" t="s">
        <v>436</v>
      </c>
      <c r="B206" s="54" t="s">
        <v>437</v>
      </c>
      <c r="C206" s="55"/>
      <c r="D206" s="56">
        <f>D207+D211+D217+D223+D229+D235+D238+D244+D248+D249-0.1</f>
        <v>13498.099999999999</v>
      </c>
      <c r="E206" s="56">
        <f>E207+E211+E217+E223+E229+E235+E238+E244+E248+E249</f>
        <v>10573.6</v>
      </c>
      <c r="F206" s="56">
        <f>F207+F211+F217+F223+F229+F235+F238+F244+F248+F249-0.1</f>
        <v>2924.5</v>
      </c>
      <c r="G206" s="57">
        <f t="shared" ref="G206:G245" si="15">SUM(E206/D206)</f>
        <v>0.78333987746423583</v>
      </c>
      <c r="H206" s="55"/>
      <c r="I206" s="58"/>
      <c r="J206" s="59"/>
      <c r="K206" s="59"/>
      <c r="L206" s="60"/>
      <c r="M206" s="60"/>
      <c r="N206" s="60"/>
      <c r="O206" s="60"/>
      <c r="P206" s="210"/>
      <c r="Q206" s="211"/>
    </row>
    <row r="207" spans="1:17" ht="90" customHeight="1" x14ac:dyDescent="0.25">
      <c r="A207" s="280" t="s">
        <v>438</v>
      </c>
      <c r="B207" s="282" t="s">
        <v>439</v>
      </c>
      <c r="C207" s="61"/>
      <c r="D207" s="62">
        <f>SUM(D208:D210)</f>
        <v>289.8</v>
      </c>
      <c r="E207" s="62">
        <f>SUM(E208:E210)</f>
        <v>284.3</v>
      </c>
      <c r="F207" s="63">
        <f>SUM(F208:F210)</f>
        <v>5.5</v>
      </c>
      <c r="G207" s="79">
        <f t="shared" si="15"/>
        <v>0.98102139406487232</v>
      </c>
      <c r="H207" s="212" t="s">
        <v>199</v>
      </c>
      <c r="I207" s="215" t="s">
        <v>19</v>
      </c>
      <c r="J207" s="218">
        <v>1</v>
      </c>
      <c r="K207" s="243">
        <v>1</v>
      </c>
      <c r="L207" s="68"/>
      <c r="M207" s="68"/>
      <c r="N207" s="68"/>
      <c r="O207" s="68"/>
      <c r="P207" s="212" t="s">
        <v>440</v>
      </c>
      <c r="Q207" s="262" t="s">
        <v>1854</v>
      </c>
    </row>
    <row r="208" spans="1:17" ht="15.75" x14ac:dyDescent="0.25">
      <c r="A208" s="284"/>
      <c r="B208" s="324"/>
      <c r="C208" s="70" t="s">
        <v>37</v>
      </c>
      <c r="D208" s="71">
        <v>16.5</v>
      </c>
      <c r="E208" s="71">
        <v>12.8</v>
      </c>
      <c r="F208" s="72">
        <v>3.7</v>
      </c>
      <c r="G208" s="80">
        <f t="shared" si="15"/>
        <v>0.77575757575757576</v>
      </c>
      <c r="H208" s="213"/>
      <c r="I208" s="216"/>
      <c r="J208" s="219"/>
      <c r="K208" s="244"/>
      <c r="L208" s="76"/>
      <c r="M208" s="76"/>
      <c r="N208" s="76"/>
      <c r="O208" s="76"/>
      <c r="P208" s="213"/>
      <c r="Q208" s="264"/>
    </row>
    <row r="209" spans="1:17" ht="15.75" x14ac:dyDescent="0.25">
      <c r="A209" s="284"/>
      <c r="B209" s="324"/>
      <c r="C209" s="70" t="s">
        <v>229</v>
      </c>
      <c r="D209" s="71">
        <v>251.2</v>
      </c>
      <c r="E209" s="71">
        <v>249.5</v>
      </c>
      <c r="F209" s="72">
        <v>1.7</v>
      </c>
      <c r="G209" s="80">
        <f t="shared" si="15"/>
        <v>0.99323248407643316</v>
      </c>
      <c r="H209" s="213"/>
      <c r="I209" s="216"/>
      <c r="J209" s="219"/>
      <c r="K209" s="244"/>
      <c r="L209" s="76"/>
      <c r="M209" s="76"/>
      <c r="N209" s="76"/>
      <c r="O209" s="76"/>
      <c r="P209" s="213"/>
      <c r="Q209" s="264"/>
    </row>
    <row r="210" spans="1:17" ht="16.5" thickBot="1" x14ac:dyDescent="0.3">
      <c r="A210" s="281"/>
      <c r="B210" s="283"/>
      <c r="C210" s="70" t="s">
        <v>175</v>
      </c>
      <c r="D210" s="71">
        <v>22.1</v>
      </c>
      <c r="E210" s="71">
        <v>22</v>
      </c>
      <c r="F210" s="72">
        <v>0.1</v>
      </c>
      <c r="G210" s="91">
        <f t="shared" si="15"/>
        <v>0.99547511312217185</v>
      </c>
      <c r="H210" s="214"/>
      <c r="I210" s="217"/>
      <c r="J210" s="220"/>
      <c r="K210" s="245"/>
      <c r="L210" s="76"/>
      <c r="M210" s="76"/>
      <c r="N210" s="76"/>
      <c r="O210" s="76"/>
      <c r="P210" s="214"/>
      <c r="Q210" s="263"/>
    </row>
    <row r="211" spans="1:17" ht="110.25" customHeight="1" x14ac:dyDescent="0.25">
      <c r="A211" s="280" t="s">
        <v>441</v>
      </c>
      <c r="B211" s="282" t="s">
        <v>442</v>
      </c>
      <c r="C211" s="61"/>
      <c r="D211" s="62">
        <f>SUM(D212:D216)</f>
        <v>3910.1000000000004</v>
      </c>
      <c r="E211" s="62">
        <f>SUM(E212:E216)</f>
        <v>2972.5999999999995</v>
      </c>
      <c r="F211" s="63">
        <f>SUM(F212:F216)</f>
        <v>937.5</v>
      </c>
      <c r="G211" s="79">
        <f t="shared" si="15"/>
        <v>0.76023631109178769</v>
      </c>
      <c r="H211" s="61" t="s">
        <v>443</v>
      </c>
      <c r="I211" s="65" t="s">
        <v>293</v>
      </c>
      <c r="J211" s="137">
        <v>28431</v>
      </c>
      <c r="K211" s="128">
        <v>0</v>
      </c>
      <c r="L211" s="68"/>
      <c r="M211" s="68"/>
      <c r="N211" s="68"/>
      <c r="O211" s="68"/>
      <c r="P211" s="61"/>
      <c r="Q211" s="69" t="s">
        <v>1792</v>
      </c>
    </row>
    <row r="212" spans="1:17" ht="84.75" customHeight="1" x14ac:dyDescent="0.25">
      <c r="A212" s="284"/>
      <c r="B212" s="324"/>
      <c r="C212" s="70" t="s">
        <v>175</v>
      </c>
      <c r="D212" s="71">
        <v>84.7</v>
      </c>
      <c r="E212" s="71">
        <v>0.6</v>
      </c>
      <c r="F212" s="72">
        <v>84.1</v>
      </c>
      <c r="G212" s="80">
        <f t="shared" si="15"/>
        <v>7.0838252656434467E-3</v>
      </c>
      <c r="H212" s="246" t="s">
        <v>444</v>
      </c>
      <c r="I212" s="247" t="s">
        <v>14</v>
      </c>
      <c r="J212" s="248">
        <v>100</v>
      </c>
      <c r="K212" s="285">
        <v>79</v>
      </c>
      <c r="L212" s="76"/>
      <c r="M212" s="76"/>
      <c r="N212" s="76"/>
      <c r="O212" s="76"/>
      <c r="P212" s="246" t="s">
        <v>445</v>
      </c>
      <c r="Q212" s="366" t="s">
        <v>1679</v>
      </c>
    </row>
    <row r="213" spans="1:17" ht="38.25" customHeight="1" x14ac:dyDescent="0.25">
      <c r="A213" s="284"/>
      <c r="B213" s="324"/>
      <c r="C213" s="70" t="s">
        <v>426</v>
      </c>
      <c r="D213" s="71">
        <v>1389.3</v>
      </c>
      <c r="E213" s="71">
        <v>1389.3</v>
      </c>
      <c r="F213" s="72"/>
      <c r="G213" s="80">
        <f t="shared" si="15"/>
        <v>1</v>
      </c>
      <c r="H213" s="213"/>
      <c r="I213" s="216"/>
      <c r="J213" s="219"/>
      <c r="K213" s="222"/>
      <c r="L213" s="76" t="s">
        <v>29</v>
      </c>
      <c r="M213" s="76" t="s">
        <v>15</v>
      </c>
      <c r="N213" s="76"/>
      <c r="O213" s="76"/>
      <c r="P213" s="213"/>
      <c r="Q213" s="264"/>
    </row>
    <row r="214" spans="1:17" ht="15.75" x14ac:dyDescent="0.25">
      <c r="A214" s="284"/>
      <c r="B214" s="324"/>
      <c r="C214" s="70" t="s">
        <v>37</v>
      </c>
      <c r="D214" s="71">
        <v>681</v>
      </c>
      <c r="E214" s="71">
        <v>622.9</v>
      </c>
      <c r="F214" s="72">
        <v>58.1</v>
      </c>
      <c r="G214" s="80">
        <f t="shared" si="15"/>
        <v>0.91468428781204103</v>
      </c>
      <c r="H214" s="213"/>
      <c r="I214" s="216"/>
      <c r="J214" s="219"/>
      <c r="K214" s="222"/>
      <c r="L214" s="76"/>
      <c r="M214" s="76"/>
      <c r="N214" s="76"/>
      <c r="O214" s="76"/>
      <c r="P214" s="213"/>
      <c r="Q214" s="264"/>
    </row>
    <row r="215" spans="1:17" ht="15.75" x14ac:dyDescent="0.25">
      <c r="A215" s="284"/>
      <c r="B215" s="324"/>
      <c r="C215" s="70" t="s">
        <v>27</v>
      </c>
      <c r="D215" s="71">
        <v>700.4</v>
      </c>
      <c r="E215" s="71">
        <v>152.1</v>
      </c>
      <c r="F215" s="72">
        <v>548.29999999999995</v>
      </c>
      <c r="G215" s="80">
        <f t="shared" si="15"/>
        <v>0.21716162193032554</v>
      </c>
      <c r="H215" s="213"/>
      <c r="I215" s="216"/>
      <c r="J215" s="219"/>
      <c r="K215" s="222"/>
      <c r="L215" s="76"/>
      <c r="M215" s="76"/>
      <c r="N215" s="76"/>
      <c r="O215" s="76"/>
      <c r="P215" s="213"/>
      <c r="Q215" s="264"/>
    </row>
    <row r="216" spans="1:17" ht="26.25" customHeight="1" thickBot="1" x14ac:dyDescent="0.3">
      <c r="A216" s="281"/>
      <c r="B216" s="283"/>
      <c r="C216" s="70" t="s">
        <v>229</v>
      </c>
      <c r="D216" s="71">
        <v>1054.7</v>
      </c>
      <c r="E216" s="71">
        <v>807.7</v>
      </c>
      <c r="F216" s="72">
        <v>247</v>
      </c>
      <c r="G216" s="91">
        <f t="shared" si="15"/>
        <v>0.7658101829904238</v>
      </c>
      <c r="H216" s="214"/>
      <c r="I216" s="217"/>
      <c r="J216" s="220"/>
      <c r="K216" s="223"/>
      <c r="L216" s="76"/>
      <c r="M216" s="76"/>
      <c r="N216" s="76"/>
      <c r="O216" s="76"/>
      <c r="P216" s="214"/>
      <c r="Q216" s="263"/>
    </row>
    <row r="217" spans="1:17" ht="47.25" x14ac:dyDescent="0.25">
      <c r="A217" s="280" t="s">
        <v>447</v>
      </c>
      <c r="B217" s="282" t="s">
        <v>448</v>
      </c>
      <c r="C217" s="61"/>
      <c r="D217" s="62">
        <f>SUM(D218:D222)</f>
        <v>2193.6999999999998</v>
      </c>
      <c r="E217" s="62">
        <f>SUM(E218:E222)+0.1</f>
        <v>1993.8999999999999</v>
      </c>
      <c r="F217" s="63">
        <f>SUM(F218:F222)</f>
        <v>199.89999999999998</v>
      </c>
      <c r="G217" s="79">
        <f t="shared" si="15"/>
        <v>0.90892100104845697</v>
      </c>
      <c r="H217" s="61" t="s">
        <v>443</v>
      </c>
      <c r="I217" s="65" t="s">
        <v>293</v>
      </c>
      <c r="J217" s="121">
        <v>99432</v>
      </c>
      <c r="K217" s="128">
        <v>0</v>
      </c>
      <c r="L217" s="68"/>
      <c r="M217" s="68"/>
      <c r="N217" s="68"/>
      <c r="O217" s="68"/>
      <c r="P217" s="61"/>
      <c r="Q217" s="69" t="s">
        <v>1570</v>
      </c>
    </row>
    <row r="218" spans="1:17" ht="60" customHeight="1" x14ac:dyDescent="0.25">
      <c r="A218" s="284"/>
      <c r="B218" s="324"/>
      <c r="C218" s="70" t="s">
        <v>175</v>
      </c>
      <c r="D218" s="71">
        <v>271.39999999999998</v>
      </c>
      <c r="E218" s="71">
        <v>270.7</v>
      </c>
      <c r="F218" s="72">
        <v>0.7</v>
      </c>
      <c r="G218" s="80">
        <f t="shared" si="15"/>
        <v>0.99742078113485633</v>
      </c>
      <c r="H218" s="246" t="s">
        <v>444</v>
      </c>
      <c r="I218" s="247" t="s">
        <v>14</v>
      </c>
      <c r="J218" s="248">
        <v>100</v>
      </c>
      <c r="K218" s="249">
        <v>100</v>
      </c>
      <c r="L218" s="76"/>
      <c r="M218" s="76"/>
      <c r="N218" s="76"/>
      <c r="O218" s="76"/>
      <c r="P218" s="246" t="s">
        <v>1794</v>
      </c>
      <c r="Q218" s="366" t="s">
        <v>1793</v>
      </c>
    </row>
    <row r="219" spans="1:17" ht="15.75" x14ac:dyDescent="0.25">
      <c r="A219" s="284"/>
      <c r="B219" s="324"/>
      <c r="C219" s="70" t="s">
        <v>27</v>
      </c>
      <c r="D219" s="71">
        <v>208.3</v>
      </c>
      <c r="E219" s="71">
        <v>198.2</v>
      </c>
      <c r="F219" s="72">
        <v>10.1</v>
      </c>
      <c r="G219" s="80">
        <f t="shared" si="15"/>
        <v>0.95151224195871331</v>
      </c>
      <c r="H219" s="213"/>
      <c r="I219" s="216"/>
      <c r="J219" s="219"/>
      <c r="K219" s="244"/>
      <c r="L219" s="76"/>
      <c r="M219" s="76"/>
      <c r="N219" s="76"/>
      <c r="O219" s="76"/>
      <c r="P219" s="213"/>
      <c r="Q219" s="264"/>
    </row>
    <row r="220" spans="1:17" ht="15.75" x14ac:dyDescent="0.25">
      <c r="A220" s="284"/>
      <c r="B220" s="324"/>
      <c r="C220" s="70" t="s">
        <v>229</v>
      </c>
      <c r="D220" s="71">
        <v>1000</v>
      </c>
      <c r="E220" s="71">
        <v>999.1</v>
      </c>
      <c r="F220" s="72">
        <v>0.9</v>
      </c>
      <c r="G220" s="80">
        <f t="shared" si="15"/>
        <v>0.99909999999999999</v>
      </c>
      <c r="H220" s="213"/>
      <c r="I220" s="216"/>
      <c r="J220" s="219"/>
      <c r="K220" s="244"/>
      <c r="L220" s="76"/>
      <c r="M220" s="76"/>
      <c r="N220" s="76"/>
      <c r="O220" s="76"/>
      <c r="P220" s="213"/>
      <c r="Q220" s="264"/>
    </row>
    <row r="221" spans="1:17" ht="15.75" x14ac:dyDescent="0.25">
      <c r="A221" s="284"/>
      <c r="B221" s="324"/>
      <c r="C221" s="70" t="s">
        <v>37</v>
      </c>
      <c r="D221" s="71">
        <v>264</v>
      </c>
      <c r="E221" s="71">
        <v>75.8</v>
      </c>
      <c r="F221" s="72">
        <v>188.2</v>
      </c>
      <c r="G221" s="80">
        <f t="shared" si="15"/>
        <v>0.28712121212121211</v>
      </c>
      <c r="H221" s="213"/>
      <c r="I221" s="216"/>
      <c r="J221" s="219"/>
      <c r="K221" s="244"/>
      <c r="L221" s="76"/>
      <c r="M221" s="76"/>
      <c r="N221" s="76"/>
      <c r="O221" s="76"/>
      <c r="P221" s="213"/>
      <c r="Q221" s="264"/>
    </row>
    <row r="222" spans="1:17" ht="81.75" customHeight="1" thickBot="1" x14ac:dyDescent="0.3">
      <c r="A222" s="281"/>
      <c r="B222" s="283"/>
      <c r="C222" s="70" t="s">
        <v>426</v>
      </c>
      <c r="D222" s="71">
        <v>450</v>
      </c>
      <c r="E222" s="71">
        <v>450</v>
      </c>
      <c r="F222" s="72"/>
      <c r="G222" s="91">
        <f t="shared" si="15"/>
        <v>1</v>
      </c>
      <c r="H222" s="214"/>
      <c r="I222" s="217"/>
      <c r="J222" s="220"/>
      <c r="K222" s="245"/>
      <c r="L222" s="76"/>
      <c r="M222" s="76"/>
      <c r="N222" s="76"/>
      <c r="O222" s="76"/>
      <c r="P222" s="214"/>
      <c r="Q222" s="263"/>
    </row>
    <row r="223" spans="1:17" ht="50.25" customHeight="1" x14ac:dyDescent="0.25">
      <c r="A223" s="280" t="s">
        <v>449</v>
      </c>
      <c r="B223" s="282" t="s">
        <v>450</v>
      </c>
      <c r="C223" s="61"/>
      <c r="D223" s="62">
        <f>SUM(D224:D228)</f>
        <v>2861.2999999999993</v>
      </c>
      <c r="E223" s="62">
        <f>SUM(E224:E228)-0.1</f>
        <v>2176.1</v>
      </c>
      <c r="F223" s="63">
        <f>SUM(F224:F228)+0.1</f>
        <v>685.2</v>
      </c>
      <c r="G223" s="79">
        <f t="shared" si="15"/>
        <v>0.76052843113270208</v>
      </c>
      <c r="H223" s="212" t="s">
        <v>444</v>
      </c>
      <c r="I223" s="215" t="s">
        <v>14</v>
      </c>
      <c r="J223" s="218">
        <v>90</v>
      </c>
      <c r="K223" s="243">
        <v>100</v>
      </c>
      <c r="L223" s="68" t="s">
        <v>54</v>
      </c>
      <c r="M223" s="68" t="s">
        <v>15</v>
      </c>
      <c r="N223" s="68"/>
      <c r="O223" s="68"/>
      <c r="P223" s="212" t="s">
        <v>1627</v>
      </c>
      <c r="Q223" s="227" t="s">
        <v>1628</v>
      </c>
    </row>
    <row r="224" spans="1:17" ht="31.5" x14ac:dyDescent="0.25">
      <c r="A224" s="284"/>
      <c r="B224" s="324"/>
      <c r="C224" s="70" t="s">
        <v>37</v>
      </c>
      <c r="D224" s="71">
        <v>1411.6</v>
      </c>
      <c r="E224" s="71">
        <v>1008.1</v>
      </c>
      <c r="F224" s="72">
        <v>403.5</v>
      </c>
      <c r="G224" s="80">
        <f t="shared" si="15"/>
        <v>0.71415415131765381</v>
      </c>
      <c r="H224" s="213"/>
      <c r="I224" s="216"/>
      <c r="J224" s="219"/>
      <c r="K224" s="244"/>
      <c r="L224" s="76" t="s">
        <v>451</v>
      </c>
      <c r="M224" s="76" t="s">
        <v>15</v>
      </c>
      <c r="N224" s="76"/>
      <c r="O224" s="76"/>
      <c r="P224" s="213"/>
      <c r="Q224" s="228"/>
    </row>
    <row r="225" spans="1:17" ht="15.75" x14ac:dyDescent="0.25">
      <c r="A225" s="284"/>
      <c r="B225" s="324"/>
      <c r="C225" s="70" t="s">
        <v>27</v>
      </c>
      <c r="D225" s="71">
        <v>70.3</v>
      </c>
      <c r="E225" s="71">
        <v>68.8</v>
      </c>
      <c r="F225" s="72">
        <v>1.5</v>
      </c>
      <c r="G225" s="80">
        <f t="shared" si="15"/>
        <v>0.97866287339971547</v>
      </c>
      <c r="H225" s="213"/>
      <c r="I225" s="216"/>
      <c r="J225" s="219"/>
      <c r="K225" s="244"/>
      <c r="L225" s="76"/>
      <c r="M225" s="76"/>
      <c r="N225" s="76"/>
      <c r="O225" s="76"/>
      <c r="P225" s="213"/>
      <c r="Q225" s="228"/>
    </row>
    <row r="226" spans="1:17" ht="15.75" x14ac:dyDescent="0.25">
      <c r="A226" s="284"/>
      <c r="B226" s="324"/>
      <c r="C226" s="70" t="s">
        <v>426</v>
      </c>
      <c r="D226" s="71">
        <v>765.5</v>
      </c>
      <c r="E226" s="71">
        <v>765.5</v>
      </c>
      <c r="F226" s="72"/>
      <c r="G226" s="80">
        <f t="shared" si="15"/>
        <v>1</v>
      </c>
      <c r="H226" s="213"/>
      <c r="I226" s="216"/>
      <c r="J226" s="219"/>
      <c r="K226" s="244"/>
      <c r="L226" s="76"/>
      <c r="M226" s="76"/>
      <c r="N226" s="76"/>
      <c r="O226" s="76"/>
      <c r="P226" s="213"/>
      <c r="Q226" s="228"/>
    </row>
    <row r="227" spans="1:17" ht="15.75" x14ac:dyDescent="0.25">
      <c r="A227" s="284"/>
      <c r="B227" s="324"/>
      <c r="C227" s="70" t="s">
        <v>229</v>
      </c>
      <c r="D227" s="71">
        <v>565.70000000000005</v>
      </c>
      <c r="E227" s="71">
        <v>306.7</v>
      </c>
      <c r="F227" s="72">
        <v>259</v>
      </c>
      <c r="G227" s="80">
        <f t="shared" si="15"/>
        <v>0.54216015555948371</v>
      </c>
      <c r="H227" s="213"/>
      <c r="I227" s="216"/>
      <c r="J227" s="219"/>
      <c r="K227" s="244"/>
      <c r="L227" s="76"/>
      <c r="M227" s="76"/>
      <c r="N227" s="76"/>
      <c r="O227" s="76"/>
      <c r="P227" s="213"/>
      <c r="Q227" s="228"/>
    </row>
    <row r="228" spans="1:17" ht="16.5" thickBot="1" x14ac:dyDescent="0.3">
      <c r="A228" s="281"/>
      <c r="B228" s="283"/>
      <c r="C228" s="70" t="s">
        <v>175</v>
      </c>
      <c r="D228" s="71">
        <v>48.2</v>
      </c>
      <c r="E228" s="71">
        <v>27.1</v>
      </c>
      <c r="F228" s="72">
        <v>21.1</v>
      </c>
      <c r="G228" s="91">
        <f t="shared" si="15"/>
        <v>0.56224066390041494</v>
      </c>
      <c r="H228" s="214"/>
      <c r="I228" s="217"/>
      <c r="J228" s="220"/>
      <c r="K228" s="245"/>
      <c r="L228" s="76"/>
      <c r="M228" s="76"/>
      <c r="N228" s="76"/>
      <c r="O228" s="76"/>
      <c r="P228" s="214"/>
      <c r="Q228" s="229"/>
    </row>
    <row r="229" spans="1:17" ht="87" customHeight="1" x14ac:dyDescent="0.25">
      <c r="A229" s="280" t="s">
        <v>452</v>
      </c>
      <c r="B229" s="282" t="s">
        <v>453</v>
      </c>
      <c r="C229" s="61"/>
      <c r="D229" s="62">
        <f>SUM(D230:D234)</f>
        <v>1256.4000000000001</v>
      </c>
      <c r="E229" s="62">
        <f>SUM(E230:E234)</f>
        <v>1089.4000000000001</v>
      </c>
      <c r="F229" s="63">
        <f>SUM(F230:F234)</f>
        <v>167</v>
      </c>
      <c r="G229" s="79">
        <f t="shared" si="15"/>
        <v>0.86708054759630693</v>
      </c>
      <c r="H229" s="61" t="s">
        <v>443</v>
      </c>
      <c r="I229" s="65" t="s">
        <v>293</v>
      </c>
      <c r="J229" s="137">
        <v>10344</v>
      </c>
      <c r="K229" s="67">
        <v>0</v>
      </c>
      <c r="L229" s="68"/>
      <c r="M229" s="68"/>
      <c r="N229" s="68"/>
      <c r="O229" s="68"/>
      <c r="P229" s="61"/>
      <c r="Q229" s="69" t="s">
        <v>1629</v>
      </c>
    </row>
    <row r="230" spans="1:17" ht="64.5" customHeight="1" x14ac:dyDescent="0.25">
      <c r="A230" s="284"/>
      <c r="B230" s="324"/>
      <c r="C230" s="70" t="s">
        <v>27</v>
      </c>
      <c r="D230" s="71">
        <v>108.3</v>
      </c>
      <c r="E230" s="71">
        <v>18.7</v>
      </c>
      <c r="F230" s="72">
        <v>89.6</v>
      </c>
      <c r="G230" s="80">
        <f t="shared" si="15"/>
        <v>0.17266851338873498</v>
      </c>
      <c r="H230" s="246" t="s">
        <v>444</v>
      </c>
      <c r="I230" s="247" t="s">
        <v>14</v>
      </c>
      <c r="J230" s="248">
        <v>100</v>
      </c>
      <c r="K230" s="249">
        <v>100</v>
      </c>
      <c r="L230" s="76"/>
      <c r="M230" s="76"/>
      <c r="N230" s="76"/>
      <c r="O230" s="76"/>
      <c r="P230" s="246" t="s">
        <v>1571</v>
      </c>
      <c r="Q230" s="366" t="s">
        <v>1630</v>
      </c>
    </row>
    <row r="231" spans="1:17" ht="15.75" x14ac:dyDescent="0.25">
      <c r="A231" s="284"/>
      <c r="B231" s="324"/>
      <c r="C231" s="70" t="s">
        <v>175</v>
      </c>
      <c r="D231" s="71">
        <v>38.799999999999997</v>
      </c>
      <c r="E231" s="71">
        <v>32.5</v>
      </c>
      <c r="F231" s="72">
        <v>6.3</v>
      </c>
      <c r="G231" s="80">
        <f t="shared" si="15"/>
        <v>0.83762886597938147</v>
      </c>
      <c r="H231" s="213"/>
      <c r="I231" s="216"/>
      <c r="J231" s="219"/>
      <c r="K231" s="244"/>
      <c r="L231" s="76"/>
      <c r="M231" s="76"/>
      <c r="N231" s="76"/>
      <c r="O231" s="76"/>
      <c r="P231" s="213"/>
      <c r="Q231" s="264"/>
    </row>
    <row r="232" spans="1:17" ht="15.75" x14ac:dyDescent="0.25">
      <c r="A232" s="284"/>
      <c r="B232" s="324"/>
      <c r="C232" s="70" t="s">
        <v>37</v>
      </c>
      <c r="D232" s="71">
        <v>20.3</v>
      </c>
      <c r="E232" s="71">
        <v>20.3</v>
      </c>
      <c r="F232" s="72"/>
      <c r="G232" s="80">
        <f t="shared" si="15"/>
        <v>1</v>
      </c>
      <c r="H232" s="213"/>
      <c r="I232" s="216"/>
      <c r="J232" s="219"/>
      <c r="K232" s="244"/>
      <c r="L232" s="76"/>
      <c r="M232" s="76"/>
      <c r="N232" s="76"/>
      <c r="O232" s="76"/>
      <c r="P232" s="213"/>
      <c r="Q232" s="264"/>
    </row>
    <row r="233" spans="1:17" ht="15.75" x14ac:dyDescent="0.25">
      <c r="A233" s="284"/>
      <c r="B233" s="324"/>
      <c r="C233" s="70" t="s">
        <v>229</v>
      </c>
      <c r="D233" s="71">
        <v>439</v>
      </c>
      <c r="E233" s="71">
        <v>367.9</v>
      </c>
      <c r="F233" s="72">
        <v>71.099999999999994</v>
      </c>
      <c r="G233" s="80">
        <f t="shared" si="15"/>
        <v>0.83804100227790423</v>
      </c>
      <c r="H233" s="213"/>
      <c r="I233" s="216"/>
      <c r="J233" s="219"/>
      <c r="K233" s="244"/>
      <c r="L233" s="76"/>
      <c r="M233" s="76"/>
      <c r="N233" s="76"/>
      <c r="O233" s="76"/>
      <c r="P233" s="213"/>
      <c r="Q233" s="264"/>
    </row>
    <row r="234" spans="1:17" ht="24" customHeight="1" thickBot="1" x14ac:dyDescent="0.3">
      <c r="A234" s="281"/>
      <c r="B234" s="283"/>
      <c r="C234" s="70" t="s">
        <v>426</v>
      </c>
      <c r="D234" s="71">
        <v>650</v>
      </c>
      <c r="E234" s="71">
        <v>650</v>
      </c>
      <c r="F234" s="72"/>
      <c r="G234" s="91">
        <f t="shared" si="15"/>
        <v>1</v>
      </c>
      <c r="H234" s="214"/>
      <c r="I234" s="217"/>
      <c r="J234" s="220"/>
      <c r="K234" s="245"/>
      <c r="L234" s="76"/>
      <c r="M234" s="76"/>
      <c r="N234" s="76"/>
      <c r="O234" s="76"/>
      <c r="P234" s="214"/>
      <c r="Q234" s="263"/>
    </row>
    <row r="235" spans="1:17" ht="95.25" customHeight="1" x14ac:dyDescent="0.25">
      <c r="A235" s="280" t="s">
        <v>454</v>
      </c>
      <c r="B235" s="282" t="s">
        <v>455</v>
      </c>
      <c r="C235" s="61"/>
      <c r="D235" s="62">
        <f>SUM(D236:D237)</f>
        <v>1276.5</v>
      </c>
      <c r="E235" s="62">
        <f>SUM(E236:E237)</f>
        <v>663</v>
      </c>
      <c r="F235" s="63">
        <f>SUM(F236:F237)-0.1</f>
        <v>613.4</v>
      </c>
      <c r="G235" s="79">
        <f t="shared" si="15"/>
        <v>0.51938895417156283</v>
      </c>
      <c r="H235" s="212" t="s">
        <v>444</v>
      </c>
      <c r="I235" s="215" t="s">
        <v>14</v>
      </c>
      <c r="J235" s="218">
        <v>63</v>
      </c>
      <c r="K235" s="241">
        <v>65</v>
      </c>
      <c r="L235" s="68" t="s">
        <v>457</v>
      </c>
      <c r="M235" s="68" t="s">
        <v>15</v>
      </c>
      <c r="N235" s="68" t="s">
        <v>54</v>
      </c>
      <c r="O235" s="68" t="s">
        <v>15</v>
      </c>
      <c r="P235" s="212" t="s">
        <v>1572</v>
      </c>
      <c r="Q235" s="227" t="s">
        <v>1855</v>
      </c>
    </row>
    <row r="236" spans="1:17" ht="63" x14ac:dyDescent="0.25">
      <c r="A236" s="284"/>
      <c r="B236" s="324"/>
      <c r="C236" s="70" t="s">
        <v>37</v>
      </c>
      <c r="D236" s="71">
        <v>1223.3</v>
      </c>
      <c r="E236" s="71">
        <v>654.6</v>
      </c>
      <c r="F236" s="72">
        <v>568.70000000000005</v>
      </c>
      <c r="G236" s="80">
        <f t="shared" si="15"/>
        <v>0.53510994849995919</v>
      </c>
      <c r="H236" s="213"/>
      <c r="I236" s="216"/>
      <c r="J236" s="219"/>
      <c r="K236" s="301"/>
      <c r="L236" s="76"/>
      <c r="M236" s="76"/>
      <c r="N236" s="76" t="s">
        <v>458</v>
      </c>
      <c r="O236" s="76" t="s">
        <v>15</v>
      </c>
      <c r="P236" s="213"/>
      <c r="Q236" s="228"/>
    </row>
    <row r="237" spans="1:17" ht="39" customHeight="1" thickBot="1" x14ac:dyDescent="0.3">
      <c r="A237" s="281"/>
      <c r="B237" s="283"/>
      <c r="C237" s="70" t="s">
        <v>27</v>
      </c>
      <c r="D237" s="71">
        <v>53.2</v>
      </c>
      <c r="E237" s="71">
        <v>8.4</v>
      </c>
      <c r="F237" s="72">
        <v>44.8</v>
      </c>
      <c r="G237" s="91">
        <f t="shared" si="15"/>
        <v>0.15789473684210525</v>
      </c>
      <c r="H237" s="214"/>
      <c r="I237" s="217"/>
      <c r="J237" s="220"/>
      <c r="K237" s="242"/>
      <c r="L237" s="76"/>
      <c r="M237" s="76"/>
      <c r="N237" s="76"/>
      <c r="O237" s="76"/>
      <c r="P237" s="214"/>
      <c r="Q237" s="229"/>
    </row>
    <row r="238" spans="1:17" ht="83.25" customHeight="1" x14ac:dyDescent="0.25">
      <c r="A238" s="280" t="s">
        <v>459</v>
      </c>
      <c r="B238" s="282" t="s">
        <v>460</v>
      </c>
      <c r="C238" s="61"/>
      <c r="D238" s="62">
        <f>SUM(D239:D243)</f>
        <v>833.49999999999989</v>
      </c>
      <c r="E238" s="62">
        <f>SUM(E239:E243)</f>
        <v>640.19999999999993</v>
      </c>
      <c r="F238" s="63">
        <f>SUM(F239:F243)</f>
        <v>193.29999999999998</v>
      </c>
      <c r="G238" s="79">
        <f t="shared" si="15"/>
        <v>0.76808638272345531</v>
      </c>
      <c r="H238" s="61" t="s">
        <v>443</v>
      </c>
      <c r="I238" s="65" t="s">
        <v>293</v>
      </c>
      <c r="J238" s="137">
        <v>17961</v>
      </c>
      <c r="K238" s="67">
        <v>0</v>
      </c>
      <c r="L238" s="68"/>
      <c r="M238" s="68"/>
      <c r="N238" s="68"/>
      <c r="O238" s="68"/>
      <c r="P238" s="61"/>
      <c r="Q238" s="69" t="s">
        <v>1629</v>
      </c>
    </row>
    <row r="239" spans="1:17" ht="39.75" customHeight="1" x14ac:dyDescent="0.25">
      <c r="A239" s="284"/>
      <c r="B239" s="324"/>
      <c r="C239" s="70" t="s">
        <v>37</v>
      </c>
      <c r="D239" s="71">
        <v>249.7</v>
      </c>
      <c r="E239" s="71">
        <v>233.7</v>
      </c>
      <c r="F239" s="72">
        <v>16</v>
      </c>
      <c r="G239" s="80">
        <f t="shared" si="15"/>
        <v>0.93592310772927512</v>
      </c>
      <c r="H239" s="246" t="s">
        <v>444</v>
      </c>
      <c r="I239" s="247" t="s">
        <v>14</v>
      </c>
      <c r="J239" s="248">
        <v>100</v>
      </c>
      <c r="K239" s="249">
        <v>100</v>
      </c>
      <c r="L239" s="76"/>
      <c r="M239" s="76"/>
      <c r="N239" s="76"/>
      <c r="O239" s="76"/>
      <c r="P239" s="246" t="s">
        <v>1856</v>
      </c>
      <c r="Q239" s="286" t="s">
        <v>1857</v>
      </c>
    </row>
    <row r="240" spans="1:17" ht="15.75" x14ac:dyDescent="0.25">
      <c r="A240" s="284"/>
      <c r="B240" s="324"/>
      <c r="C240" s="70" t="s">
        <v>229</v>
      </c>
      <c r="D240" s="71">
        <v>204.7</v>
      </c>
      <c r="E240" s="71">
        <v>135.1</v>
      </c>
      <c r="F240" s="72">
        <v>69.599999999999994</v>
      </c>
      <c r="G240" s="80">
        <f t="shared" si="15"/>
        <v>0.65999022960429898</v>
      </c>
      <c r="H240" s="213"/>
      <c r="I240" s="216"/>
      <c r="J240" s="219"/>
      <c r="K240" s="244"/>
      <c r="L240" s="76"/>
      <c r="M240" s="76"/>
      <c r="N240" s="76"/>
      <c r="O240" s="76"/>
      <c r="P240" s="213"/>
      <c r="Q240" s="228"/>
    </row>
    <row r="241" spans="1:17" ht="15.75" x14ac:dyDescent="0.25">
      <c r="A241" s="284"/>
      <c r="B241" s="324"/>
      <c r="C241" s="70" t="s">
        <v>27</v>
      </c>
      <c r="D241" s="71">
        <v>108.3</v>
      </c>
      <c r="E241" s="71">
        <v>9.5</v>
      </c>
      <c r="F241" s="72">
        <v>98.8</v>
      </c>
      <c r="G241" s="80">
        <f t="shared" si="15"/>
        <v>8.7719298245614044E-2</v>
      </c>
      <c r="H241" s="213"/>
      <c r="I241" s="216"/>
      <c r="J241" s="219"/>
      <c r="K241" s="244"/>
      <c r="L241" s="76"/>
      <c r="M241" s="76"/>
      <c r="N241" s="76"/>
      <c r="O241" s="76"/>
      <c r="P241" s="213"/>
      <c r="Q241" s="228"/>
    </row>
    <row r="242" spans="1:17" ht="15.75" x14ac:dyDescent="0.25">
      <c r="A242" s="284"/>
      <c r="B242" s="324"/>
      <c r="C242" s="70" t="s">
        <v>175</v>
      </c>
      <c r="D242" s="71">
        <v>20.8</v>
      </c>
      <c r="E242" s="71">
        <v>11.9</v>
      </c>
      <c r="F242" s="72">
        <v>8.9</v>
      </c>
      <c r="G242" s="80">
        <f t="shared" si="15"/>
        <v>0.57211538461538458</v>
      </c>
      <c r="H242" s="213"/>
      <c r="I242" s="216"/>
      <c r="J242" s="219"/>
      <c r="K242" s="244"/>
      <c r="L242" s="76"/>
      <c r="M242" s="76"/>
      <c r="N242" s="76"/>
      <c r="O242" s="76"/>
      <c r="P242" s="213"/>
      <c r="Q242" s="228"/>
    </row>
    <row r="243" spans="1:17" ht="16.5" thickBot="1" x14ac:dyDescent="0.3">
      <c r="A243" s="281"/>
      <c r="B243" s="283"/>
      <c r="C243" s="70" t="s">
        <v>426</v>
      </c>
      <c r="D243" s="71">
        <v>250</v>
      </c>
      <c r="E243" s="71">
        <v>250</v>
      </c>
      <c r="F243" s="72"/>
      <c r="G243" s="91">
        <f t="shared" si="15"/>
        <v>1</v>
      </c>
      <c r="H243" s="214"/>
      <c r="I243" s="217"/>
      <c r="J243" s="220"/>
      <c r="K243" s="245"/>
      <c r="L243" s="76"/>
      <c r="M243" s="76"/>
      <c r="N243" s="76"/>
      <c r="O243" s="76"/>
      <c r="P243" s="214"/>
      <c r="Q243" s="229"/>
    </row>
    <row r="244" spans="1:17" ht="157.5" x14ac:dyDescent="0.25">
      <c r="A244" s="280" t="s">
        <v>461</v>
      </c>
      <c r="B244" s="282" t="s">
        <v>462</v>
      </c>
      <c r="C244" s="61"/>
      <c r="D244" s="62">
        <f>SUM(D245:D247)</f>
        <v>114.8</v>
      </c>
      <c r="E244" s="62">
        <f>SUM(E245:E247)</f>
        <v>98.7</v>
      </c>
      <c r="F244" s="63">
        <f>SUM(F245:F247)</f>
        <v>16.100000000000001</v>
      </c>
      <c r="G244" s="79">
        <f t="shared" si="15"/>
        <v>0.85975609756097571</v>
      </c>
      <c r="H244" s="61" t="s">
        <v>463</v>
      </c>
      <c r="I244" s="65" t="s">
        <v>464</v>
      </c>
      <c r="J244" s="66">
        <v>1</v>
      </c>
      <c r="K244" s="89">
        <v>1</v>
      </c>
      <c r="L244" s="68"/>
      <c r="M244" s="68"/>
      <c r="N244" s="68"/>
      <c r="O244" s="68"/>
      <c r="P244" s="61" t="s">
        <v>465</v>
      </c>
      <c r="Q244" s="132" t="s">
        <v>1631</v>
      </c>
    </row>
    <row r="245" spans="1:17" ht="63" x14ac:dyDescent="0.25">
      <c r="A245" s="284"/>
      <c r="B245" s="324"/>
      <c r="C245" s="70" t="s">
        <v>27</v>
      </c>
      <c r="D245" s="71">
        <v>114.8</v>
      </c>
      <c r="E245" s="71">
        <v>98.7</v>
      </c>
      <c r="F245" s="72">
        <v>16.100000000000001</v>
      </c>
      <c r="G245" s="80">
        <f t="shared" si="15"/>
        <v>0.85975609756097571</v>
      </c>
      <c r="H245" s="70" t="s">
        <v>466</v>
      </c>
      <c r="I245" s="73" t="s">
        <v>19</v>
      </c>
      <c r="J245" s="74">
        <v>1</v>
      </c>
      <c r="K245" s="81">
        <v>1</v>
      </c>
      <c r="L245" s="76"/>
      <c r="M245" s="76"/>
      <c r="N245" s="76"/>
      <c r="O245" s="76"/>
      <c r="P245" s="70" t="s">
        <v>1632</v>
      </c>
      <c r="Q245" s="77"/>
    </row>
    <row r="246" spans="1:17" ht="218.25" customHeight="1" thickBot="1" x14ac:dyDescent="0.3">
      <c r="A246" s="284"/>
      <c r="B246" s="324"/>
      <c r="C246" s="70"/>
      <c r="D246" s="71"/>
      <c r="E246" s="71"/>
      <c r="F246" s="72"/>
      <c r="G246" s="72"/>
      <c r="H246" s="70" t="s">
        <v>467</v>
      </c>
      <c r="I246" s="73" t="s">
        <v>19</v>
      </c>
      <c r="J246" s="74">
        <v>1</v>
      </c>
      <c r="K246" s="81">
        <v>1</v>
      </c>
      <c r="L246" s="76"/>
      <c r="M246" s="76"/>
      <c r="N246" s="76"/>
      <c r="O246" s="76"/>
      <c r="P246" s="70" t="s">
        <v>1633</v>
      </c>
      <c r="Q246" s="77" t="s">
        <v>1634</v>
      </c>
    </row>
    <row r="247" spans="1:17" ht="63.75" hidden="1" thickBot="1" x14ac:dyDescent="0.3">
      <c r="A247" s="281"/>
      <c r="B247" s="283"/>
      <c r="C247" s="70"/>
      <c r="D247" s="71"/>
      <c r="E247" s="71"/>
      <c r="F247" s="72"/>
      <c r="G247" s="72"/>
      <c r="H247" s="70" t="s">
        <v>468</v>
      </c>
      <c r="I247" s="73" t="s">
        <v>464</v>
      </c>
      <c r="J247" s="78"/>
      <c r="K247" s="78"/>
      <c r="L247" s="76" t="s">
        <v>114</v>
      </c>
      <c r="M247" s="76" t="s">
        <v>15</v>
      </c>
      <c r="N247" s="76" t="s">
        <v>114</v>
      </c>
      <c r="O247" s="76" t="s">
        <v>15</v>
      </c>
      <c r="P247" s="70"/>
      <c r="Q247" s="77"/>
    </row>
    <row r="248" spans="1:17" ht="81" customHeight="1" thickBot="1" x14ac:dyDescent="0.3">
      <c r="A248" s="93" t="s">
        <v>469</v>
      </c>
      <c r="B248" s="94" t="s">
        <v>470</v>
      </c>
      <c r="C248" s="61" t="s">
        <v>27</v>
      </c>
      <c r="D248" s="95">
        <v>50</v>
      </c>
      <c r="E248" s="95"/>
      <c r="F248" s="96">
        <v>50</v>
      </c>
      <c r="G248" s="79">
        <f t="shared" ref="G248:G295" si="16">SUM(E248/D248)</f>
        <v>0</v>
      </c>
      <c r="H248" s="61" t="s">
        <v>471</v>
      </c>
      <c r="I248" s="65" t="s">
        <v>293</v>
      </c>
      <c r="J248" s="121">
        <v>17000</v>
      </c>
      <c r="K248" s="67">
        <v>0</v>
      </c>
      <c r="L248" s="68"/>
      <c r="M248" s="68"/>
      <c r="N248" s="68"/>
      <c r="O248" s="68"/>
      <c r="P248" s="61"/>
      <c r="Q248" s="69" t="s">
        <v>1635</v>
      </c>
    </row>
    <row r="249" spans="1:17" ht="45.75" customHeight="1" x14ac:dyDescent="0.25">
      <c r="A249" s="280" t="s">
        <v>473</v>
      </c>
      <c r="B249" s="282" t="s">
        <v>474</v>
      </c>
      <c r="C249" s="61"/>
      <c r="D249" s="62">
        <f>SUM(D250:D252)</f>
        <v>712.1</v>
      </c>
      <c r="E249" s="62">
        <f>SUM(E250:E252)</f>
        <v>655.4</v>
      </c>
      <c r="F249" s="63">
        <f>SUM(F250:F252)</f>
        <v>56.7</v>
      </c>
      <c r="G249" s="79">
        <f t="shared" si="16"/>
        <v>0.92037635163600606</v>
      </c>
      <c r="H249" s="212" t="s">
        <v>443</v>
      </c>
      <c r="I249" s="215" t="s">
        <v>318</v>
      </c>
      <c r="J249" s="218">
        <v>906</v>
      </c>
      <c r="K249" s="317">
        <v>2371</v>
      </c>
      <c r="L249" s="68" t="s">
        <v>475</v>
      </c>
      <c r="M249" s="68" t="s">
        <v>15</v>
      </c>
      <c r="N249" s="68" t="s">
        <v>476</v>
      </c>
      <c r="O249" s="68" t="s">
        <v>15</v>
      </c>
      <c r="P249" s="212" t="s">
        <v>1573</v>
      </c>
      <c r="Q249" s="262" t="s">
        <v>1636</v>
      </c>
    </row>
    <row r="250" spans="1:17" ht="15.75" x14ac:dyDescent="0.25">
      <c r="A250" s="284"/>
      <c r="B250" s="324"/>
      <c r="C250" s="70" t="s">
        <v>426</v>
      </c>
      <c r="D250" s="71">
        <v>551.5</v>
      </c>
      <c r="E250" s="71">
        <v>551.5</v>
      </c>
      <c r="F250" s="72"/>
      <c r="G250" s="80">
        <f t="shared" si="16"/>
        <v>1</v>
      </c>
      <c r="H250" s="213"/>
      <c r="I250" s="216"/>
      <c r="J250" s="219"/>
      <c r="K250" s="303"/>
      <c r="L250" s="76"/>
      <c r="M250" s="76"/>
      <c r="N250" s="76"/>
      <c r="O250" s="76"/>
      <c r="P250" s="213"/>
      <c r="Q250" s="264"/>
    </row>
    <row r="251" spans="1:17" ht="15.75" x14ac:dyDescent="0.25">
      <c r="A251" s="284"/>
      <c r="B251" s="324"/>
      <c r="C251" s="70" t="s">
        <v>37</v>
      </c>
      <c r="D251" s="71">
        <v>25.5</v>
      </c>
      <c r="E251" s="71">
        <v>25</v>
      </c>
      <c r="F251" s="72">
        <v>0.5</v>
      </c>
      <c r="G251" s="80">
        <f t="shared" si="16"/>
        <v>0.98039215686274506</v>
      </c>
      <c r="H251" s="213"/>
      <c r="I251" s="216"/>
      <c r="J251" s="219"/>
      <c r="K251" s="303"/>
      <c r="L251" s="76"/>
      <c r="M251" s="76"/>
      <c r="N251" s="76"/>
      <c r="O251" s="76"/>
      <c r="P251" s="213"/>
      <c r="Q251" s="264"/>
    </row>
    <row r="252" spans="1:17" ht="30" customHeight="1" thickBot="1" x14ac:dyDescent="0.3">
      <c r="A252" s="281"/>
      <c r="B252" s="283"/>
      <c r="C252" s="70" t="s">
        <v>27</v>
      </c>
      <c r="D252" s="71">
        <v>135.1</v>
      </c>
      <c r="E252" s="71">
        <v>78.900000000000006</v>
      </c>
      <c r="F252" s="72">
        <v>56.2</v>
      </c>
      <c r="G252" s="91">
        <f t="shared" si="16"/>
        <v>0.58401184307920062</v>
      </c>
      <c r="H252" s="214"/>
      <c r="I252" s="217"/>
      <c r="J252" s="220"/>
      <c r="K252" s="304"/>
      <c r="L252" s="76"/>
      <c r="M252" s="76"/>
      <c r="N252" s="76"/>
      <c r="O252" s="76"/>
      <c r="P252" s="214"/>
      <c r="Q252" s="263"/>
    </row>
    <row r="253" spans="1:17" ht="63.75" thickBot="1" x14ac:dyDescent="0.3">
      <c r="A253" s="45" t="s">
        <v>477</v>
      </c>
      <c r="B253" s="46" t="s">
        <v>478</v>
      </c>
      <c r="C253" s="47"/>
      <c r="D253" s="48">
        <f>D254+D291+D296</f>
        <v>12013.8</v>
      </c>
      <c r="E253" s="48">
        <f>E254+E291+E296</f>
        <v>9678.2999999999993</v>
      </c>
      <c r="F253" s="48">
        <f>F254+F291+F296</f>
        <v>2335.5</v>
      </c>
      <c r="G253" s="49">
        <f t="shared" si="16"/>
        <v>0.80559856165409782</v>
      </c>
      <c r="H253" s="47" t="s">
        <v>479</v>
      </c>
      <c r="I253" s="50" t="s">
        <v>416</v>
      </c>
      <c r="J253" s="51">
        <v>1</v>
      </c>
      <c r="K253" s="50">
        <v>0</v>
      </c>
      <c r="L253" s="47"/>
      <c r="M253" s="47"/>
      <c r="N253" s="47"/>
      <c r="O253" s="47"/>
      <c r="P253" s="230"/>
      <c r="Q253" s="231"/>
    </row>
    <row r="254" spans="1:17" ht="48" thickBot="1" x14ac:dyDescent="0.3">
      <c r="A254" s="53" t="s">
        <v>480</v>
      </c>
      <c r="B254" s="54" t="s">
        <v>481</v>
      </c>
      <c r="C254" s="55"/>
      <c r="D254" s="56">
        <f>D255+D259+D263+D266+D269+D272+D279+D282+D284+D288</f>
        <v>10599.3</v>
      </c>
      <c r="E254" s="56">
        <f>E255+E259+E263+E266+E269+E272+E279+E282+E284+E288</f>
        <v>8263.7999999999993</v>
      </c>
      <c r="F254" s="56">
        <f>F255+F259+F263+F266+F269+F272+F279+F282+F284+F288</f>
        <v>2335.5</v>
      </c>
      <c r="G254" s="57">
        <f t="shared" si="16"/>
        <v>0.77965526025303555</v>
      </c>
      <c r="H254" s="55"/>
      <c r="I254" s="58"/>
      <c r="J254" s="59"/>
      <c r="K254" s="59"/>
      <c r="L254" s="60"/>
      <c r="M254" s="60"/>
      <c r="N254" s="60"/>
      <c r="O254" s="60"/>
      <c r="P254" s="210"/>
      <c r="Q254" s="211"/>
    </row>
    <row r="255" spans="1:17" ht="216" customHeight="1" x14ac:dyDescent="0.25">
      <c r="A255" s="280" t="s">
        <v>482</v>
      </c>
      <c r="B255" s="282" t="s">
        <v>483</v>
      </c>
      <c r="C255" s="61"/>
      <c r="D255" s="62">
        <f>SUM(D256:D258)</f>
        <v>2643.4000000000005</v>
      </c>
      <c r="E255" s="62">
        <f>SUM(E256:E258)</f>
        <v>2627</v>
      </c>
      <c r="F255" s="63">
        <f>SUM(F256:F258)</f>
        <v>16.399999999999999</v>
      </c>
      <c r="G255" s="79">
        <f t="shared" si="16"/>
        <v>0.99379586895664651</v>
      </c>
      <c r="H255" s="61" t="s">
        <v>484</v>
      </c>
      <c r="I255" s="65" t="s">
        <v>14</v>
      </c>
      <c r="J255" s="66">
        <v>100</v>
      </c>
      <c r="K255" s="89">
        <v>100</v>
      </c>
      <c r="L255" s="68" t="s">
        <v>54</v>
      </c>
      <c r="M255" s="68" t="s">
        <v>15</v>
      </c>
      <c r="N255" s="68" t="s">
        <v>54</v>
      </c>
      <c r="O255" s="68" t="s">
        <v>15</v>
      </c>
      <c r="P255" s="265" t="s">
        <v>1637</v>
      </c>
      <c r="Q255" s="224"/>
    </row>
    <row r="256" spans="1:17" ht="44.25" customHeight="1" x14ac:dyDescent="0.25">
      <c r="A256" s="284"/>
      <c r="B256" s="324"/>
      <c r="C256" s="70" t="s">
        <v>403</v>
      </c>
      <c r="D256" s="71">
        <v>1693.4</v>
      </c>
      <c r="E256" s="71">
        <v>1693.4</v>
      </c>
      <c r="F256" s="72"/>
      <c r="G256" s="80">
        <f t="shared" si="16"/>
        <v>1</v>
      </c>
      <c r="H256" s="246" t="s">
        <v>485</v>
      </c>
      <c r="I256" s="247" t="s">
        <v>14</v>
      </c>
      <c r="J256" s="248">
        <v>100</v>
      </c>
      <c r="K256" s="249">
        <v>100</v>
      </c>
      <c r="L256" s="76" t="s">
        <v>54</v>
      </c>
      <c r="M256" s="76" t="s">
        <v>15</v>
      </c>
      <c r="N256" s="76" t="s">
        <v>54</v>
      </c>
      <c r="O256" s="76" t="s">
        <v>15</v>
      </c>
      <c r="P256" s="293"/>
      <c r="Q256" s="225"/>
    </row>
    <row r="257" spans="1:17" ht="15.75" x14ac:dyDescent="0.25">
      <c r="A257" s="284"/>
      <c r="B257" s="324"/>
      <c r="C257" s="70" t="s">
        <v>27</v>
      </c>
      <c r="D257" s="71">
        <v>529.20000000000005</v>
      </c>
      <c r="E257" s="71">
        <v>515.1</v>
      </c>
      <c r="F257" s="72">
        <v>14.1</v>
      </c>
      <c r="G257" s="80">
        <f t="shared" si="16"/>
        <v>0.97335600907029474</v>
      </c>
      <c r="H257" s="213"/>
      <c r="I257" s="216"/>
      <c r="J257" s="219"/>
      <c r="K257" s="244"/>
      <c r="L257" s="76"/>
      <c r="M257" s="76"/>
      <c r="N257" s="76"/>
      <c r="O257" s="76"/>
      <c r="P257" s="293"/>
      <c r="Q257" s="225"/>
    </row>
    <row r="258" spans="1:17" ht="33" customHeight="1" thickBot="1" x14ac:dyDescent="0.3">
      <c r="A258" s="281"/>
      <c r="B258" s="283"/>
      <c r="C258" s="70" t="s">
        <v>37</v>
      </c>
      <c r="D258" s="71">
        <v>420.8</v>
      </c>
      <c r="E258" s="71">
        <v>418.5</v>
      </c>
      <c r="F258" s="72">
        <v>2.2999999999999998</v>
      </c>
      <c r="G258" s="91">
        <f t="shared" si="16"/>
        <v>0.99453422053231932</v>
      </c>
      <c r="H258" s="214"/>
      <c r="I258" s="217"/>
      <c r="J258" s="220"/>
      <c r="K258" s="245"/>
      <c r="L258" s="76"/>
      <c r="M258" s="76"/>
      <c r="N258" s="76"/>
      <c r="O258" s="76"/>
      <c r="P258" s="266"/>
      <c r="Q258" s="226"/>
    </row>
    <row r="259" spans="1:17" ht="87" customHeight="1" x14ac:dyDescent="0.25">
      <c r="A259" s="280" t="s">
        <v>486</v>
      </c>
      <c r="B259" s="282" t="s">
        <v>487</v>
      </c>
      <c r="C259" s="61"/>
      <c r="D259" s="62">
        <f>SUM(D260:D262)</f>
        <v>2170.1</v>
      </c>
      <c r="E259" s="62">
        <f>SUM(E260:E262)</f>
        <v>523.79999999999995</v>
      </c>
      <c r="F259" s="63">
        <f>SUM(F260:F262)</f>
        <v>1646.3</v>
      </c>
      <c r="G259" s="79">
        <f t="shared" si="16"/>
        <v>0.2413713653748675</v>
      </c>
      <c r="H259" s="212" t="s">
        <v>488</v>
      </c>
      <c r="I259" s="215" t="s">
        <v>14</v>
      </c>
      <c r="J259" s="218">
        <v>23</v>
      </c>
      <c r="K259" s="221">
        <v>11.7</v>
      </c>
      <c r="L259" s="68" t="s">
        <v>489</v>
      </c>
      <c r="M259" s="68" t="s">
        <v>15</v>
      </c>
      <c r="N259" s="68" t="s">
        <v>54</v>
      </c>
      <c r="O259" s="68" t="s">
        <v>15</v>
      </c>
      <c r="P259" s="212" t="s">
        <v>490</v>
      </c>
      <c r="Q259" s="227" t="s">
        <v>1858</v>
      </c>
    </row>
    <row r="260" spans="1:17" ht="63" x14ac:dyDescent="0.25">
      <c r="A260" s="284"/>
      <c r="B260" s="324"/>
      <c r="C260" s="70" t="s">
        <v>175</v>
      </c>
      <c r="D260" s="71">
        <v>359.9</v>
      </c>
      <c r="E260" s="71"/>
      <c r="F260" s="72">
        <v>359.9</v>
      </c>
      <c r="G260" s="80">
        <f t="shared" si="16"/>
        <v>0</v>
      </c>
      <c r="H260" s="213"/>
      <c r="I260" s="216"/>
      <c r="J260" s="219"/>
      <c r="K260" s="222"/>
      <c r="L260" s="76"/>
      <c r="M260" s="76"/>
      <c r="N260" s="76" t="s">
        <v>29</v>
      </c>
      <c r="O260" s="76" t="s">
        <v>15</v>
      </c>
      <c r="P260" s="213"/>
      <c r="Q260" s="228"/>
    </row>
    <row r="261" spans="1:17" ht="15.75" x14ac:dyDescent="0.25">
      <c r="A261" s="284"/>
      <c r="B261" s="324"/>
      <c r="C261" s="70" t="s">
        <v>27</v>
      </c>
      <c r="D261" s="71">
        <v>524.20000000000005</v>
      </c>
      <c r="E261" s="71">
        <v>523.79999999999995</v>
      </c>
      <c r="F261" s="72">
        <v>0.4</v>
      </c>
      <c r="G261" s="80">
        <f t="shared" si="16"/>
        <v>0.9992369324685233</v>
      </c>
      <c r="H261" s="213"/>
      <c r="I261" s="216"/>
      <c r="J261" s="219"/>
      <c r="K261" s="222"/>
      <c r="L261" s="76"/>
      <c r="M261" s="76"/>
      <c r="N261" s="76"/>
      <c r="O261" s="76"/>
      <c r="P261" s="213"/>
      <c r="Q261" s="228"/>
    </row>
    <row r="262" spans="1:17" ht="28.5" customHeight="1" thickBot="1" x14ac:dyDescent="0.3">
      <c r="A262" s="281"/>
      <c r="B262" s="283"/>
      <c r="C262" s="70" t="s">
        <v>229</v>
      </c>
      <c r="D262" s="71">
        <v>1286</v>
      </c>
      <c r="E262" s="71"/>
      <c r="F262" s="72">
        <v>1286</v>
      </c>
      <c r="G262" s="91">
        <f t="shared" si="16"/>
        <v>0</v>
      </c>
      <c r="H262" s="214"/>
      <c r="I262" s="217"/>
      <c r="J262" s="220"/>
      <c r="K262" s="223"/>
      <c r="L262" s="76"/>
      <c r="M262" s="76"/>
      <c r="N262" s="76"/>
      <c r="O262" s="76"/>
      <c r="P262" s="214"/>
      <c r="Q262" s="229"/>
    </row>
    <row r="263" spans="1:17" ht="57" customHeight="1" x14ac:dyDescent="0.25">
      <c r="A263" s="280" t="s">
        <v>491</v>
      </c>
      <c r="B263" s="282" t="s">
        <v>492</v>
      </c>
      <c r="C263" s="61"/>
      <c r="D263" s="62">
        <f>SUM(D264:D265)</f>
        <v>664.6</v>
      </c>
      <c r="E263" s="62">
        <f>SUM(E264:E265)</f>
        <v>564.70000000000005</v>
      </c>
      <c r="F263" s="63">
        <f>SUM(F264:F265)</f>
        <v>99.9</v>
      </c>
      <c r="G263" s="79">
        <f t="shared" si="16"/>
        <v>0.84968402046343672</v>
      </c>
      <c r="H263" s="212" t="s">
        <v>493</v>
      </c>
      <c r="I263" s="215" t="s">
        <v>14</v>
      </c>
      <c r="J263" s="218">
        <v>75</v>
      </c>
      <c r="K263" s="359">
        <v>100</v>
      </c>
      <c r="L263" s="68" t="s">
        <v>54</v>
      </c>
      <c r="M263" s="68" t="s">
        <v>15</v>
      </c>
      <c r="N263" s="68"/>
      <c r="O263" s="68"/>
      <c r="P263" s="212" t="s">
        <v>494</v>
      </c>
      <c r="Q263" s="227"/>
    </row>
    <row r="264" spans="1:17" ht="15.75" x14ac:dyDescent="0.25">
      <c r="A264" s="284"/>
      <c r="B264" s="324"/>
      <c r="C264" s="70" t="s">
        <v>27</v>
      </c>
      <c r="D264" s="71">
        <v>4.5999999999999996</v>
      </c>
      <c r="E264" s="71">
        <v>4.2</v>
      </c>
      <c r="F264" s="72">
        <v>0.4</v>
      </c>
      <c r="G264" s="80">
        <f t="shared" si="16"/>
        <v>0.91304347826086962</v>
      </c>
      <c r="H264" s="213"/>
      <c r="I264" s="216"/>
      <c r="J264" s="219"/>
      <c r="K264" s="360"/>
      <c r="L264" s="76"/>
      <c r="M264" s="76"/>
      <c r="N264" s="76"/>
      <c r="O264" s="76"/>
      <c r="P264" s="213"/>
      <c r="Q264" s="228"/>
    </row>
    <row r="265" spans="1:17" ht="33.75" customHeight="1" thickBot="1" x14ac:dyDescent="0.3">
      <c r="A265" s="281"/>
      <c r="B265" s="283"/>
      <c r="C265" s="70" t="s">
        <v>175</v>
      </c>
      <c r="D265" s="71">
        <v>660</v>
      </c>
      <c r="E265" s="71">
        <v>560.5</v>
      </c>
      <c r="F265" s="72">
        <v>99.5</v>
      </c>
      <c r="G265" s="91">
        <f t="shared" si="16"/>
        <v>0.84924242424242424</v>
      </c>
      <c r="H265" s="214"/>
      <c r="I265" s="217"/>
      <c r="J265" s="220"/>
      <c r="K265" s="361"/>
      <c r="L265" s="76"/>
      <c r="M265" s="76"/>
      <c r="N265" s="76"/>
      <c r="O265" s="76"/>
      <c r="P265" s="214"/>
      <c r="Q265" s="229"/>
    </row>
    <row r="266" spans="1:17" ht="99.75" customHeight="1" x14ac:dyDescent="0.25">
      <c r="A266" s="280" t="s">
        <v>495</v>
      </c>
      <c r="B266" s="282" t="s">
        <v>496</v>
      </c>
      <c r="C266" s="61"/>
      <c r="D266" s="62">
        <f>SUM(D267:D268)</f>
        <v>576.9</v>
      </c>
      <c r="E266" s="62">
        <f>SUM(E267:E268)</f>
        <v>496.2</v>
      </c>
      <c r="F266" s="63">
        <f>SUM(F267:F268)</f>
        <v>80.7</v>
      </c>
      <c r="G266" s="79">
        <f t="shared" si="16"/>
        <v>0.86011440457618304</v>
      </c>
      <c r="H266" s="61" t="s">
        <v>497</v>
      </c>
      <c r="I266" s="65" t="s">
        <v>19</v>
      </c>
      <c r="J266" s="66">
        <v>2</v>
      </c>
      <c r="K266" s="89">
        <v>2</v>
      </c>
      <c r="L266" s="68"/>
      <c r="M266" s="68"/>
      <c r="N266" s="68"/>
      <c r="O266" s="68"/>
      <c r="P266" s="212" t="s">
        <v>498</v>
      </c>
      <c r="Q266" s="227" t="s">
        <v>1680</v>
      </c>
    </row>
    <row r="267" spans="1:17" ht="30" customHeight="1" x14ac:dyDescent="0.25">
      <c r="A267" s="284"/>
      <c r="B267" s="324"/>
      <c r="C267" s="70" t="s">
        <v>229</v>
      </c>
      <c r="D267" s="71">
        <v>571</v>
      </c>
      <c r="E267" s="71">
        <v>490.3</v>
      </c>
      <c r="F267" s="72">
        <v>80.7</v>
      </c>
      <c r="G267" s="80">
        <f t="shared" si="16"/>
        <v>0.85866900175131355</v>
      </c>
      <c r="H267" s="246" t="s">
        <v>444</v>
      </c>
      <c r="I267" s="247" t="s">
        <v>14</v>
      </c>
      <c r="J267" s="248">
        <v>100</v>
      </c>
      <c r="K267" s="249">
        <v>100</v>
      </c>
      <c r="L267" s="76"/>
      <c r="M267" s="76"/>
      <c r="N267" s="76"/>
      <c r="O267" s="76"/>
      <c r="P267" s="213"/>
      <c r="Q267" s="228"/>
    </row>
    <row r="268" spans="1:17" ht="24" customHeight="1" thickBot="1" x14ac:dyDescent="0.3">
      <c r="A268" s="281"/>
      <c r="B268" s="283"/>
      <c r="C268" s="70" t="s">
        <v>37</v>
      </c>
      <c r="D268" s="71">
        <v>5.9</v>
      </c>
      <c r="E268" s="71">
        <v>5.9</v>
      </c>
      <c r="F268" s="72"/>
      <c r="G268" s="91">
        <f t="shared" si="16"/>
        <v>1</v>
      </c>
      <c r="H268" s="214"/>
      <c r="I268" s="217"/>
      <c r="J268" s="220"/>
      <c r="K268" s="245"/>
      <c r="L268" s="76"/>
      <c r="M268" s="76"/>
      <c r="N268" s="76"/>
      <c r="O268" s="76"/>
      <c r="P268" s="214"/>
      <c r="Q268" s="229"/>
    </row>
    <row r="269" spans="1:17" ht="68.25" customHeight="1" x14ac:dyDescent="0.25">
      <c r="A269" s="280" t="s">
        <v>499</v>
      </c>
      <c r="B269" s="282" t="s">
        <v>500</v>
      </c>
      <c r="C269" s="61"/>
      <c r="D269" s="62">
        <f>SUM(D270:D271)</f>
        <v>8.1999999999999993</v>
      </c>
      <c r="E269" s="62">
        <f>SUM(E270:E271)</f>
        <v>1.3</v>
      </c>
      <c r="F269" s="63">
        <f>SUM(F270:F271)</f>
        <v>6.9</v>
      </c>
      <c r="G269" s="79">
        <f t="shared" si="16"/>
        <v>0.15853658536585369</v>
      </c>
      <c r="H269" s="212" t="s">
        <v>501</v>
      </c>
      <c r="I269" s="215" t="s">
        <v>19</v>
      </c>
      <c r="J269" s="218">
        <v>1</v>
      </c>
      <c r="K269" s="243">
        <v>1</v>
      </c>
      <c r="L269" s="68"/>
      <c r="M269" s="68"/>
      <c r="N269" s="68"/>
      <c r="O269" s="68"/>
      <c r="P269" s="212" t="s">
        <v>502</v>
      </c>
      <c r="Q269" s="227" t="s">
        <v>1638</v>
      </c>
    </row>
    <row r="270" spans="1:17" ht="15.75" x14ac:dyDescent="0.25">
      <c r="A270" s="284"/>
      <c r="B270" s="324"/>
      <c r="C270" s="70" t="s">
        <v>27</v>
      </c>
      <c r="D270" s="71">
        <v>2.2000000000000002</v>
      </c>
      <c r="E270" s="71"/>
      <c r="F270" s="72">
        <v>2.2000000000000002</v>
      </c>
      <c r="G270" s="80">
        <f t="shared" si="16"/>
        <v>0</v>
      </c>
      <c r="H270" s="213"/>
      <c r="I270" s="216"/>
      <c r="J270" s="219"/>
      <c r="K270" s="244"/>
      <c r="L270" s="76"/>
      <c r="M270" s="76"/>
      <c r="N270" s="76"/>
      <c r="O270" s="76"/>
      <c r="P270" s="213"/>
      <c r="Q270" s="228"/>
    </row>
    <row r="271" spans="1:17" ht="30.75" customHeight="1" thickBot="1" x14ac:dyDescent="0.3">
      <c r="A271" s="281"/>
      <c r="B271" s="283"/>
      <c r="C271" s="70" t="s">
        <v>37</v>
      </c>
      <c r="D271" s="71">
        <v>6</v>
      </c>
      <c r="E271" s="71">
        <v>1.3</v>
      </c>
      <c r="F271" s="72">
        <v>4.7</v>
      </c>
      <c r="G271" s="91">
        <f t="shared" si="16"/>
        <v>0.21666666666666667</v>
      </c>
      <c r="H271" s="214"/>
      <c r="I271" s="217"/>
      <c r="J271" s="220"/>
      <c r="K271" s="245"/>
      <c r="L271" s="76"/>
      <c r="M271" s="76"/>
      <c r="N271" s="76"/>
      <c r="O271" s="76"/>
      <c r="P271" s="214"/>
      <c r="Q271" s="229"/>
    </row>
    <row r="272" spans="1:17" ht="63" x14ac:dyDescent="0.25">
      <c r="A272" s="280" t="s">
        <v>503</v>
      </c>
      <c r="B272" s="282" t="s">
        <v>504</v>
      </c>
      <c r="C272" s="61"/>
      <c r="D272" s="62">
        <f>SUM(D273:D278)</f>
        <v>2726.7</v>
      </c>
      <c r="E272" s="62">
        <f>SUM(E273:E278)</f>
        <v>2719.4</v>
      </c>
      <c r="F272" s="63">
        <f>SUM(F273:F278)</f>
        <v>7.3</v>
      </c>
      <c r="G272" s="79">
        <f t="shared" si="16"/>
        <v>0.99732277111526768</v>
      </c>
      <c r="H272" s="61" t="s">
        <v>505</v>
      </c>
      <c r="I272" s="65" t="s">
        <v>19</v>
      </c>
      <c r="J272" s="66">
        <v>11</v>
      </c>
      <c r="K272" s="89">
        <v>11</v>
      </c>
      <c r="L272" s="68" t="s">
        <v>29</v>
      </c>
      <c r="M272" s="68" t="s">
        <v>15</v>
      </c>
      <c r="N272" s="68" t="s">
        <v>29</v>
      </c>
      <c r="O272" s="68" t="s">
        <v>15</v>
      </c>
      <c r="P272" s="61" t="s">
        <v>1639</v>
      </c>
      <c r="Q272" s="69" t="s">
        <v>1640</v>
      </c>
    </row>
    <row r="273" spans="1:17" ht="40.5" customHeight="1" x14ac:dyDescent="0.25">
      <c r="A273" s="284"/>
      <c r="B273" s="324"/>
      <c r="C273" s="70" t="s">
        <v>37</v>
      </c>
      <c r="D273" s="71">
        <v>265.10000000000002</v>
      </c>
      <c r="E273" s="71">
        <v>258</v>
      </c>
      <c r="F273" s="72">
        <v>7.1</v>
      </c>
      <c r="G273" s="80">
        <f t="shared" si="16"/>
        <v>0.97321765371557889</v>
      </c>
      <c r="H273" s="246" t="s">
        <v>444</v>
      </c>
      <c r="I273" s="247" t="s">
        <v>14</v>
      </c>
      <c r="J273" s="248">
        <v>78</v>
      </c>
      <c r="K273" s="249">
        <v>78</v>
      </c>
      <c r="L273" s="76" t="s">
        <v>54</v>
      </c>
      <c r="M273" s="76" t="s">
        <v>15</v>
      </c>
      <c r="N273" s="76" t="s">
        <v>15</v>
      </c>
      <c r="O273" s="76" t="s">
        <v>15</v>
      </c>
      <c r="P273" s="246" t="s">
        <v>506</v>
      </c>
      <c r="Q273" s="366" t="s">
        <v>1641</v>
      </c>
    </row>
    <row r="274" spans="1:17" ht="15.75" x14ac:dyDescent="0.25">
      <c r="A274" s="284"/>
      <c r="B274" s="324"/>
      <c r="C274" s="70" t="s">
        <v>426</v>
      </c>
      <c r="D274" s="71">
        <v>404</v>
      </c>
      <c r="E274" s="71">
        <v>404</v>
      </c>
      <c r="F274" s="72"/>
      <c r="G274" s="80">
        <f t="shared" si="16"/>
        <v>1</v>
      </c>
      <c r="H274" s="213"/>
      <c r="I274" s="216"/>
      <c r="J274" s="219"/>
      <c r="K274" s="244"/>
      <c r="L274" s="76"/>
      <c r="M274" s="76"/>
      <c r="N274" s="76"/>
      <c r="O274" s="76"/>
      <c r="P274" s="213"/>
      <c r="Q274" s="264"/>
    </row>
    <row r="275" spans="1:17" ht="15.75" x14ac:dyDescent="0.25">
      <c r="A275" s="284"/>
      <c r="B275" s="324"/>
      <c r="C275" s="70" t="s">
        <v>27</v>
      </c>
      <c r="D275" s="71">
        <v>207.3</v>
      </c>
      <c r="E275" s="71">
        <v>207.1</v>
      </c>
      <c r="F275" s="72">
        <v>0.2</v>
      </c>
      <c r="G275" s="80">
        <f t="shared" si="16"/>
        <v>0.99903521466473699</v>
      </c>
      <c r="H275" s="213"/>
      <c r="I275" s="216"/>
      <c r="J275" s="219"/>
      <c r="K275" s="244"/>
      <c r="L275" s="76"/>
      <c r="M275" s="76"/>
      <c r="N275" s="76"/>
      <c r="O275" s="76"/>
      <c r="P275" s="213"/>
      <c r="Q275" s="264"/>
    </row>
    <row r="276" spans="1:17" ht="15.75" x14ac:dyDescent="0.25">
      <c r="A276" s="284"/>
      <c r="B276" s="324"/>
      <c r="C276" s="70" t="s">
        <v>175</v>
      </c>
      <c r="D276" s="71">
        <v>350.3</v>
      </c>
      <c r="E276" s="71">
        <v>350.3</v>
      </c>
      <c r="F276" s="72"/>
      <c r="G276" s="80">
        <f t="shared" si="16"/>
        <v>1</v>
      </c>
      <c r="H276" s="213"/>
      <c r="I276" s="216"/>
      <c r="J276" s="219"/>
      <c r="K276" s="244"/>
      <c r="L276" s="76"/>
      <c r="M276" s="76"/>
      <c r="N276" s="76"/>
      <c r="O276" s="76"/>
      <c r="P276" s="213"/>
      <c r="Q276" s="264"/>
    </row>
    <row r="277" spans="1:17" ht="15.75" x14ac:dyDescent="0.25">
      <c r="A277" s="284"/>
      <c r="B277" s="324"/>
      <c r="C277" s="70" t="s">
        <v>403</v>
      </c>
      <c r="D277" s="71">
        <v>300</v>
      </c>
      <c r="E277" s="71">
        <v>300</v>
      </c>
      <c r="F277" s="72"/>
      <c r="G277" s="80">
        <f t="shared" si="16"/>
        <v>1</v>
      </c>
      <c r="H277" s="213"/>
      <c r="I277" s="216"/>
      <c r="J277" s="219"/>
      <c r="K277" s="244"/>
      <c r="L277" s="76"/>
      <c r="M277" s="76"/>
      <c r="N277" s="76"/>
      <c r="O277" s="76"/>
      <c r="P277" s="213"/>
      <c r="Q277" s="264"/>
    </row>
    <row r="278" spans="1:17" ht="16.5" thickBot="1" x14ac:dyDescent="0.3">
      <c r="A278" s="281"/>
      <c r="B278" s="283"/>
      <c r="C278" s="70" t="s">
        <v>229</v>
      </c>
      <c r="D278" s="71">
        <v>1200</v>
      </c>
      <c r="E278" s="71">
        <v>1200</v>
      </c>
      <c r="F278" s="72"/>
      <c r="G278" s="91">
        <f t="shared" si="16"/>
        <v>1</v>
      </c>
      <c r="H278" s="214"/>
      <c r="I278" s="217"/>
      <c r="J278" s="220"/>
      <c r="K278" s="245"/>
      <c r="L278" s="76"/>
      <c r="M278" s="76"/>
      <c r="N278" s="76"/>
      <c r="O278" s="76"/>
      <c r="P278" s="214"/>
      <c r="Q278" s="263"/>
    </row>
    <row r="279" spans="1:17" ht="102.75" customHeight="1" x14ac:dyDescent="0.25">
      <c r="A279" s="280" t="s">
        <v>507</v>
      </c>
      <c r="B279" s="282" t="s">
        <v>508</v>
      </c>
      <c r="C279" s="61"/>
      <c r="D279" s="62">
        <f>SUM(D280:D281)</f>
        <v>485</v>
      </c>
      <c r="E279" s="62">
        <f>SUM(E280:E281)</f>
        <v>109.2</v>
      </c>
      <c r="F279" s="63">
        <f>SUM(F280:F281)</f>
        <v>375.8</v>
      </c>
      <c r="G279" s="79">
        <f t="shared" si="16"/>
        <v>0.22515463917525774</v>
      </c>
      <c r="H279" s="212" t="s">
        <v>446</v>
      </c>
      <c r="I279" s="215" t="s">
        <v>19</v>
      </c>
      <c r="J279" s="218">
        <v>1</v>
      </c>
      <c r="K279" s="243">
        <v>1</v>
      </c>
      <c r="L279" s="68"/>
      <c r="M279" s="68"/>
      <c r="N279" s="68"/>
      <c r="O279" s="68"/>
      <c r="P279" s="212" t="s">
        <v>509</v>
      </c>
      <c r="Q279" s="262" t="s">
        <v>1859</v>
      </c>
    </row>
    <row r="280" spans="1:17" ht="33" customHeight="1" x14ac:dyDescent="0.25">
      <c r="A280" s="284"/>
      <c r="B280" s="324"/>
      <c r="C280" s="70" t="s">
        <v>37</v>
      </c>
      <c r="D280" s="71">
        <v>110</v>
      </c>
      <c r="E280" s="71">
        <v>109.2</v>
      </c>
      <c r="F280" s="72">
        <v>0.8</v>
      </c>
      <c r="G280" s="80">
        <f t="shared" si="16"/>
        <v>0.99272727272727279</v>
      </c>
      <c r="H280" s="213"/>
      <c r="I280" s="216"/>
      <c r="J280" s="219"/>
      <c r="K280" s="244"/>
      <c r="L280" s="76"/>
      <c r="M280" s="76"/>
      <c r="N280" s="76"/>
      <c r="O280" s="76"/>
      <c r="P280" s="213"/>
      <c r="Q280" s="264"/>
    </row>
    <row r="281" spans="1:17" ht="36" customHeight="1" thickBot="1" x14ac:dyDescent="0.3">
      <c r="A281" s="281"/>
      <c r="B281" s="283"/>
      <c r="C281" s="70" t="s">
        <v>229</v>
      </c>
      <c r="D281" s="71">
        <v>375</v>
      </c>
      <c r="E281" s="71"/>
      <c r="F281" s="72">
        <v>375</v>
      </c>
      <c r="G281" s="91">
        <f t="shared" si="16"/>
        <v>0</v>
      </c>
      <c r="H281" s="214"/>
      <c r="I281" s="217"/>
      <c r="J281" s="220"/>
      <c r="K281" s="245"/>
      <c r="L281" s="76"/>
      <c r="M281" s="76"/>
      <c r="N281" s="76"/>
      <c r="O281" s="76"/>
      <c r="P281" s="214"/>
      <c r="Q281" s="263"/>
    </row>
    <row r="282" spans="1:17" ht="42.75" customHeight="1" x14ac:dyDescent="0.25">
      <c r="A282" s="280" t="s">
        <v>510</v>
      </c>
      <c r="B282" s="282" t="s">
        <v>511</v>
      </c>
      <c r="C282" s="61"/>
      <c r="D282" s="62">
        <f>SUM(D283:D283)</f>
        <v>4.9000000000000004</v>
      </c>
      <c r="E282" s="62">
        <f>SUM(E283:E283)</f>
        <v>4.7</v>
      </c>
      <c r="F282" s="63">
        <f>SUM(F283:F283)</f>
        <v>0.2</v>
      </c>
      <c r="G282" s="79">
        <f t="shared" si="16"/>
        <v>0.95918367346938771</v>
      </c>
      <c r="H282" s="212" t="s">
        <v>199</v>
      </c>
      <c r="I282" s="215" t="s">
        <v>19</v>
      </c>
      <c r="J282" s="218">
        <v>1</v>
      </c>
      <c r="K282" s="243">
        <v>1</v>
      </c>
      <c r="L282" s="68"/>
      <c r="M282" s="68"/>
      <c r="N282" s="68"/>
      <c r="O282" s="68"/>
      <c r="P282" s="212" t="s">
        <v>512</v>
      </c>
      <c r="Q282" s="227" t="s">
        <v>1642</v>
      </c>
    </row>
    <row r="283" spans="1:17" ht="40.5" customHeight="1" thickBot="1" x14ac:dyDescent="0.3">
      <c r="A283" s="281"/>
      <c r="B283" s="283"/>
      <c r="C283" s="70" t="s">
        <v>229</v>
      </c>
      <c r="D283" s="71">
        <v>4.9000000000000004</v>
      </c>
      <c r="E283" s="71">
        <v>4.7</v>
      </c>
      <c r="F283" s="72">
        <v>0.2</v>
      </c>
      <c r="G283" s="125">
        <f t="shared" si="16"/>
        <v>0.95918367346938771</v>
      </c>
      <c r="H283" s="214"/>
      <c r="I283" s="217"/>
      <c r="J283" s="220"/>
      <c r="K283" s="245"/>
      <c r="L283" s="76"/>
      <c r="M283" s="76"/>
      <c r="N283" s="76"/>
      <c r="O283" s="76"/>
      <c r="P283" s="214"/>
      <c r="Q283" s="229"/>
    </row>
    <row r="284" spans="1:17" ht="45" customHeight="1" x14ac:dyDescent="0.25">
      <c r="A284" s="280" t="s">
        <v>513</v>
      </c>
      <c r="B284" s="282" t="s">
        <v>514</v>
      </c>
      <c r="C284" s="61"/>
      <c r="D284" s="62">
        <f>SUM(D285:D287)</f>
        <v>755.5</v>
      </c>
      <c r="E284" s="62">
        <f>SUM(E285:E287)</f>
        <v>653.5</v>
      </c>
      <c r="F284" s="63">
        <f>SUM(F285:F287)</f>
        <v>102</v>
      </c>
      <c r="G284" s="79">
        <f t="shared" si="16"/>
        <v>0.8649900727994706</v>
      </c>
      <c r="H284" s="61" t="s">
        <v>515</v>
      </c>
      <c r="I284" s="65" t="s">
        <v>416</v>
      </c>
      <c r="J284" s="138">
        <v>0</v>
      </c>
      <c r="K284" s="128">
        <v>0</v>
      </c>
      <c r="L284" s="68"/>
      <c r="M284" s="68"/>
      <c r="N284" s="68"/>
      <c r="O284" s="68"/>
      <c r="P284" s="212" t="s">
        <v>516</v>
      </c>
      <c r="Q284" s="224"/>
    </row>
    <row r="285" spans="1:17" ht="27" customHeight="1" x14ac:dyDescent="0.25">
      <c r="A285" s="284"/>
      <c r="B285" s="324"/>
      <c r="C285" s="70" t="s">
        <v>37</v>
      </c>
      <c r="D285" s="71">
        <v>100</v>
      </c>
      <c r="E285" s="71">
        <v>53.5</v>
      </c>
      <c r="F285" s="72">
        <v>46.5</v>
      </c>
      <c r="G285" s="80">
        <f t="shared" si="16"/>
        <v>0.53500000000000003</v>
      </c>
      <c r="H285" s="70" t="s">
        <v>517</v>
      </c>
      <c r="I285" s="73" t="s">
        <v>14</v>
      </c>
      <c r="J285" s="74">
        <v>100</v>
      </c>
      <c r="K285" s="139">
        <v>100</v>
      </c>
      <c r="L285" s="76"/>
      <c r="M285" s="76"/>
      <c r="N285" s="76"/>
      <c r="O285" s="76"/>
      <c r="P285" s="213"/>
      <c r="Q285" s="225"/>
    </row>
    <row r="286" spans="1:17" ht="37.5" customHeight="1" x14ac:dyDescent="0.25">
      <c r="A286" s="284"/>
      <c r="B286" s="324"/>
      <c r="C286" s="70" t="s">
        <v>403</v>
      </c>
      <c r="D286" s="71">
        <v>600</v>
      </c>
      <c r="E286" s="71">
        <v>600</v>
      </c>
      <c r="F286" s="72"/>
      <c r="G286" s="80">
        <f t="shared" si="16"/>
        <v>1</v>
      </c>
      <c r="H286" s="246" t="s">
        <v>518</v>
      </c>
      <c r="I286" s="247" t="s">
        <v>416</v>
      </c>
      <c r="J286" s="248">
        <v>1.42</v>
      </c>
      <c r="K286" s="249">
        <v>1.42</v>
      </c>
      <c r="L286" s="76"/>
      <c r="M286" s="76"/>
      <c r="N286" s="76"/>
      <c r="O286" s="76"/>
      <c r="P286" s="213"/>
      <c r="Q286" s="225"/>
    </row>
    <row r="287" spans="1:17" ht="36" customHeight="1" thickBot="1" x14ac:dyDescent="0.3">
      <c r="A287" s="281"/>
      <c r="B287" s="283"/>
      <c r="C287" s="70" t="s">
        <v>27</v>
      </c>
      <c r="D287" s="71">
        <v>55.5</v>
      </c>
      <c r="E287" s="71"/>
      <c r="F287" s="72">
        <v>55.5</v>
      </c>
      <c r="G287" s="91">
        <f t="shared" si="16"/>
        <v>0</v>
      </c>
      <c r="H287" s="214"/>
      <c r="I287" s="217"/>
      <c r="J287" s="220"/>
      <c r="K287" s="245"/>
      <c r="L287" s="76"/>
      <c r="M287" s="76"/>
      <c r="N287" s="76"/>
      <c r="O287" s="76"/>
      <c r="P287" s="214"/>
      <c r="Q287" s="226"/>
    </row>
    <row r="288" spans="1:17" ht="80.25" customHeight="1" x14ac:dyDescent="0.25">
      <c r="A288" s="280" t="s">
        <v>519</v>
      </c>
      <c r="B288" s="282" t="s">
        <v>520</v>
      </c>
      <c r="C288" s="61"/>
      <c r="D288" s="62">
        <f>SUM(D289:D290)</f>
        <v>564</v>
      </c>
      <c r="E288" s="62">
        <f>SUM(E289:E290)</f>
        <v>564</v>
      </c>
      <c r="F288" s="63"/>
      <c r="G288" s="79">
        <f t="shared" si="16"/>
        <v>1</v>
      </c>
      <c r="H288" s="212" t="s">
        <v>521</v>
      </c>
      <c r="I288" s="215" t="s">
        <v>416</v>
      </c>
      <c r="J288" s="353">
        <v>600000</v>
      </c>
      <c r="K288" s="356">
        <v>576705</v>
      </c>
      <c r="L288" s="68" t="s">
        <v>522</v>
      </c>
      <c r="M288" s="68" t="s">
        <v>15</v>
      </c>
      <c r="N288" s="68" t="s">
        <v>522</v>
      </c>
      <c r="O288" s="68" t="s">
        <v>15</v>
      </c>
      <c r="P288" s="212" t="s">
        <v>523</v>
      </c>
      <c r="Q288" s="224"/>
    </row>
    <row r="289" spans="1:21" ht="15.75" x14ac:dyDescent="0.25">
      <c r="A289" s="284"/>
      <c r="B289" s="324"/>
      <c r="C289" s="70" t="s">
        <v>37</v>
      </c>
      <c r="D289" s="71">
        <v>523.5</v>
      </c>
      <c r="E289" s="71">
        <v>523.5</v>
      </c>
      <c r="F289" s="72"/>
      <c r="G289" s="80">
        <f t="shared" si="16"/>
        <v>1</v>
      </c>
      <c r="H289" s="213"/>
      <c r="I289" s="216"/>
      <c r="J289" s="354"/>
      <c r="K289" s="357"/>
      <c r="L289" s="76"/>
      <c r="M289" s="76"/>
      <c r="N289" s="76"/>
      <c r="O289" s="76"/>
      <c r="P289" s="213"/>
      <c r="Q289" s="225"/>
    </row>
    <row r="290" spans="1:21" ht="31.5" customHeight="1" thickBot="1" x14ac:dyDescent="0.3">
      <c r="A290" s="281"/>
      <c r="B290" s="283"/>
      <c r="C290" s="70" t="s">
        <v>27</v>
      </c>
      <c r="D290" s="71">
        <v>40.5</v>
      </c>
      <c r="E290" s="71">
        <v>40.5</v>
      </c>
      <c r="F290" s="72"/>
      <c r="G290" s="91">
        <f t="shared" si="16"/>
        <v>1</v>
      </c>
      <c r="H290" s="214"/>
      <c r="I290" s="217"/>
      <c r="J290" s="355"/>
      <c r="K290" s="358"/>
      <c r="L290" s="76"/>
      <c r="M290" s="76"/>
      <c r="N290" s="76"/>
      <c r="O290" s="76"/>
      <c r="P290" s="214"/>
      <c r="Q290" s="226"/>
    </row>
    <row r="291" spans="1:21" ht="48" thickBot="1" x14ac:dyDescent="0.3">
      <c r="A291" s="53" t="s">
        <v>524</v>
      </c>
      <c r="B291" s="54" t="s">
        <v>525</v>
      </c>
      <c r="C291" s="55"/>
      <c r="D291" s="56">
        <f>SUM(D292:D292)</f>
        <v>1414.5</v>
      </c>
      <c r="E291" s="56">
        <f>SUM(E292:E292)</f>
        <v>1414.5</v>
      </c>
      <c r="F291" s="56"/>
      <c r="G291" s="57">
        <f t="shared" si="16"/>
        <v>1</v>
      </c>
      <c r="H291" s="55"/>
      <c r="I291" s="58"/>
      <c r="J291" s="59"/>
      <c r="K291" s="59"/>
      <c r="L291" s="60"/>
      <c r="M291" s="60"/>
      <c r="N291" s="60"/>
      <c r="O291" s="60"/>
      <c r="P291" s="210"/>
      <c r="Q291" s="211"/>
    </row>
    <row r="292" spans="1:21" ht="63" x14ac:dyDescent="0.25">
      <c r="A292" s="280" t="s">
        <v>526</v>
      </c>
      <c r="B292" s="282" t="s">
        <v>527</v>
      </c>
      <c r="C292" s="61"/>
      <c r="D292" s="62">
        <f>SUM(D293:D295)</f>
        <v>1414.5</v>
      </c>
      <c r="E292" s="62">
        <f>SUM(E293:E295)</f>
        <v>1414.5</v>
      </c>
      <c r="F292" s="63"/>
      <c r="G292" s="79">
        <f t="shared" si="16"/>
        <v>1</v>
      </c>
      <c r="H292" s="212" t="s">
        <v>528</v>
      </c>
      <c r="I292" s="215" t="s">
        <v>19</v>
      </c>
      <c r="J292" s="218">
        <v>10</v>
      </c>
      <c r="K292" s="243">
        <v>10</v>
      </c>
      <c r="L292" s="68" t="s">
        <v>149</v>
      </c>
      <c r="M292" s="68" t="s">
        <v>15</v>
      </c>
      <c r="N292" s="68" t="s">
        <v>149</v>
      </c>
      <c r="O292" s="68" t="s">
        <v>15</v>
      </c>
      <c r="P292" s="212" t="s">
        <v>529</v>
      </c>
      <c r="Q292" s="224"/>
    </row>
    <row r="293" spans="1:21" ht="15.75" x14ac:dyDescent="0.25">
      <c r="A293" s="284"/>
      <c r="B293" s="324"/>
      <c r="C293" s="70" t="s">
        <v>403</v>
      </c>
      <c r="D293" s="71">
        <v>934.6</v>
      </c>
      <c r="E293" s="71">
        <v>934.6</v>
      </c>
      <c r="F293" s="72"/>
      <c r="G293" s="80">
        <f t="shared" si="16"/>
        <v>1</v>
      </c>
      <c r="H293" s="213"/>
      <c r="I293" s="216"/>
      <c r="J293" s="219"/>
      <c r="K293" s="244"/>
      <c r="L293" s="76"/>
      <c r="M293" s="76"/>
      <c r="N293" s="76"/>
      <c r="O293" s="76"/>
      <c r="P293" s="213"/>
      <c r="Q293" s="225"/>
    </row>
    <row r="294" spans="1:21" ht="15.75" x14ac:dyDescent="0.25">
      <c r="A294" s="284"/>
      <c r="B294" s="324"/>
      <c r="C294" s="70" t="s">
        <v>27</v>
      </c>
      <c r="D294" s="71">
        <v>275.7</v>
      </c>
      <c r="E294" s="71">
        <v>275.7</v>
      </c>
      <c r="F294" s="72"/>
      <c r="G294" s="80">
        <f t="shared" si="16"/>
        <v>1</v>
      </c>
      <c r="H294" s="213"/>
      <c r="I294" s="216"/>
      <c r="J294" s="219"/>
      <c r="K294" s="244"/>
      <c r="L294" s="76"/>
      <c r="M294" s="76"/>
      <c r="N294" s="76"/>
      <c r="O294" s="76"/>
      <c r="P294" s="213"/>
      <c r="Q294" s="225"/>
    </row>
    <row r="295" spans="1:21" ht="15" customHeight="1" thickBot="1" x14ac:dyDescent="0.3">
      <c r="A295" s="281"/>
      <c r="B295" s="283"/>
      <c r="C295" s="70" t="s">
        <v>37</v>
      </c>
      <c r="D295" s="71">
        <v>204.2</v>
      </c>
      <c r="E295" s="71">
        <v>204.2</v>
      </c>
      <c r="F295" s="72"/>
      <c r="G295" s="91">
        <f t="shared" si="16"/>
        <v>1</v>
      </c>
      <c r="H295" s="214"/>
      <c r="I295" s="217"/>
      <c r="J295" s="220"/>
      <c r="K295" s="245"/>
      <c r="L295" s="76"/>
      <c r="M295" s="76"/>
      <c r="N295" s="76"/>
      <c r="O295" s="76"/>
      <c r="P295" s="214"/>
      <c r="Q295" s="226"/>
    </row>
    <row r="296" spans="1:21" ht="32.25" hidden="1" thickBot="1" x14ac:dyDescent="0.3">
      <c r="A296" s="53" t="s">
        <v>530</v>
      </c>
      <c r="B296" s="54" t="s">
        <v>531</v>
      </c>
      <c r="C296" s="55"/>
      <c r="D296" s="56"/>
      <c r="E296" s="56"/>
      <c r="F296" s="56"/>
      <c r="G296" s="57"/>
      <c r="H296" s="55"/>
      <c r="I296" s="58"/>
      <c r="J296" s="59"/>
      <c r="K296" s="59"/>
      <c r="L296" s="60"/>
      <c r="M296" s="60"/>
      <c r="N296" s="60"/>
      <c r="O296" s="60"/>
      <c r="P296" s="55"/>
      <c r="Q296" s="119"/>
    </row>
    <row r="297" spans="1:21" ht="79.5" hidden="1" thickBot="1" x14ac:dyDescent="0.3">
      <c r="A297" s="93" t="s">
        <v>532</v>
      </c>
      <c r="B297" s="94" t="s">
        <v>533</v>
      </c>
      <c r="C297" s="61" t="s">
        <v>27</v>
      </c>
      <c r="D297" s="95"/>
      <c r="E297" s="95"/>
      <c r="F297" s="96"/>
      <c r="G297" s="96"/>
      <c r="H297" s="61" t="s">
        <v>534</v>
      </c>
      <c r="I297" s="65" t="s">
        <v>19</v>
      </c>
      <c r="J297" s="98"/>
      <c r="K297" s="98"/>
      <c r="L297" s="68" t="s">
        <v>114</v>
      </c>
      <c r="M297" s="68" t="s">
        <v>15</v>
      </c>
      <c r="N297" s="68" t="s">
        <v>149</v>
      </c>
      <c r="O297" s="68" t="s">
        <v>15</v>
      </c>
      <c r="P297" s="61"/>
      <c r="Q297" s="69"/>
    </row>
    <row r="298" spans="1:21" ht="32.25" thickBot="1" x14ac:dyDescent="0.3">
      <c r="A298" s="37" t="s">
        <v>535</v>
      </c>
      <c r="B298" s="38" t="s">
        <v>536</v>
      </c>
      <c r="C298" s="39"/>
      <c r="D298" s="40">
        <f>D299+D309</f>
        <v>11397.100000000002</v>
      </c>
      <c r="E298" s="40">
        <f>E299+E309</f>
        <v>9003.2000000000007</v>
      </c>
      <c r="F298" s="40">
        <f>F299+F309</f>
        <v>2393.9</v>
      </c>
      <c r="G298" s="41">
        <f>SUM(E298/D298)</f>
        <v>0.78995533951619268</v>
      </c>
      <c r="H298" s="39"/>
      <c r="I298" s="42"/>
      <c r="J298" s="43"/>
      <c r="K298" s="43"/>
      <c r="L298" s="44"/>
      <c r="M298" s="44"/>
      <c r="N298" s="44"/>
      <c r="O298" s="44"/>
      <c r="P298" s="267"/>
      <c r="Q298" s="268"/>
    </row>
    <row r="299" spans="1:21" ht="67.5" customHeight="1" x14ac:dyDescent="0.25">
      <c r="A299" s="389" t="s">
        <v>537</v>
      </c>
      <c r="B299" s="391" t="s">
        <v>538</v>
      </c>
      <c r="C299" s="347"/>
      <c r="D299" s="349">
        <f>D300+D301+D306</f>
        <v>89.7</v>
      </c>
      <c r="E299" s="349">
        <f>E300+E301+E306</f>
        <v>88.600000000000009</v>
      </c>
      <c r="F299" s="349">
        <f>F300+F301+F306</f>
        <v>1.1000000000000001</v>
      </c>
      <c r="G299" s="351">
        <f>SUM(E299/D299)</f>
        <v>0.98773690078037912</v>
      </c>
      <c r="H299" s="140" t="s">
        <v>539</v>
      </c>
      <c r="I299" s="141" t="s">
        <v>14</v>
      </c>
      <c r="J299" s="142">
        <v>0.5</v>
      </c>
      <c r="K299" s="142">
        <v>-3.2</v>
      </c>
      <c r="L299" s="143" t="s">
        <v>121</v>
      </c>
      <c r="M299" s="143" t="s">
        <v>15</v>
      </c>
      <c r="N299" s="143" t="s">
        <v>42</v>
      </c>
      <c r="O299" s="143" t="s">
        <v>15</v>
      </c>
      <c r="P299" s="398"/>
      <c r="Q299" s="399"/>
      <c r="S299" s="3"/>
      <c r="T299" s="10" t="s">
        <v>1</v>
      </c>
      <c r="U299" s="10" t="s">
        <v>1551</v>
      </c>
    </row>
    <row r="300" spans="1:21" ht="30" customHeight="1" thickBot="1" x14ac:dyDescent="0.3">
      <c r="A300" s="390"/>
      <c r="B300" s="392"/>
      <c r="C300" s="348"/>
      <c r="D300" s="350"/>
      <c r="E300" s="350"/>
      <c r="F300" s="350"/>
      <c r="G300" s="352"/>
      <c r="H300" s="105" t="s">
        <v>540</v>
      </c>
      <c r="I300" s="107" t="s">
        <v>19</v>
      </c>
      <c r="J300" s="108">
        <v>12</v>
      </c>
      <c r="K300" s="108">
        <v>12</v>
      </c>
      <c r="L300" s="144" t="s">
        <v>149</v>
      </c>
      <c r="M300" s="144" t="s">
        <v>15</v>
      </c>
      <c r="N300" s="144" t="s">
        <v>149</v>
      </c>
      <c r="O300" s="144" t="s">
        <v>15</v>
      </c>
      <c r="P300" s="400"/>
      <c r="Q300" s="401"/>
      <c r="S300" s="7"/>
      <c r="T300" s="14" t="s">
        <v>1552</v>
      </c>
      <c r="U300" s="11">
        <v>5</v>
      </c>
    </row>
    <row r="301" spans="1:21" ht="32.25" thickBot="1" x14ac:dyDescent="0.3">
      <c r="A301" s="53" t="s">
        <v>541</v>
      </c>
      <c r="B301" s="54" t="s">
        <v>542</v>
      </c>
      <c r="C301" s="55"/>
      <c r="D301" s="56">
        <f>SUM(D302:D303)</f>
        <v>46</v>
      </c>
      <c r="E301" s="56">
        <f>SUM(E302:E303)</f>
        <v>44.900000000000006</v>
      </c>
      <c r="F301" s="56">
        <f>SUM(F302:F303)</f>
        <v>1.1000000000000001</v>
      </c>
      <c r="G301" s="57">
        <f>SUM(E301/D301)</f>
        <v>0.97608695652173927</v>
      </c>
      <c r="H301" s="55"/>
      <c r="I301" s="58"/>
      <c r="J301" s="59"/>
      <c r="K301" s="59"/>
      <c r="L301" s="60"/>
      <c r="M301" s="60"/>
      <c r="N301" s="60"/>
      <c r="O301" s="60"/>
      <c r="P301" s="210"/>
      <c r="Q301" s="211"/>
      <c r="S301" s="4"/>
      <c r="T301" s="14" t="s">
        <v>1556</v>
      </c>
      <c r="U301" s="11">
        <v>1</v>
      </c>
    </row>
    <row r="302" spans="1:21" ht="220.5" customHeight="1" thickBot="1" x14ac:dyDescent="0.3">
      <c r="A302" s="93" t="s">
        <v>543</v>
      </c>
      <c r="B302" s="94" t="s">
        <v>544</v>
      </c>
      <c r="C302" s="61" t="s">
        <v>27</v>
      </c>
      <c r="D302" s="95">
        <v>24.2</v>
      </c>
      <c r="E302" s="95">
        <v>23.1</v>
      </c>
      <c r="F302" s="96">
        <v>1.1000000000000001</v>
      </c>
      <c r="G302" s="79">
        <f>SUM(E302/D302)</f>
        <v>0.95454545454545459</v>
      </c>
      <c r="H302" s="61" t="s">
        <v>545</v>
      </c>
      <c r="I302" s="65" t="s">
        <v>19</v>
      </c>
      <c r="J302" s="66">
        <v>7</v>
      </c>
      <c r="K302" s="89">
        <v>7</v>
      </c>
      <c r="L302" s="68" t="s">
        <v>109</v>
      </c>
      <c r="M302" s="68" t="s">
        <v>15</v>
      </c>
      <c r="N302" s="68" t="s">
        <v>109</v>
      </c>
      <c r="O302" s="68" t="s">
        <v>15</v>
      </c>
      <c r="P302" s="61" t="s">
        <v>546</v>
      </c>
      <c r="Q302" s="69" t="s">
        <v>1795</v>
      </c>
      <c r="S302" s="6"/>
      <c r="T302" s="14" t="s">
        <v>1557</v>
      </c>
      <c r="U302" s="11">
        <v>2</v>
      </c>
    </row>
    <row r="303" spans="1:21" ht="40.5" customHeight="1" x14ac:dyDescent="0.25">
      <c r="A303" s="280" t="s">
        <v>547</v>
      </c>
      <c r="B303" s="282" t="s">
        <v>548</v>
      </c>
      <c r="C303" s="215" t="s">
        <v>27</v>
      </c>
      <c r="D303" s="232">
        <f>SUM(D304:D305)+21.8</f>
        <v>21.8</v>
      </c>
      <c r="E303" s="232">
        <f>SUM(E304:E305)+21.8</f>
        <v>21.8</v>
      </c>
      <c r="F303" s="235"/>
      <c r="G303" s="238">
        <f>SUM(E303/D303)</f>
        <v>1</v>
      </c>
      <c r="H303" s="61" t="s">
        <v>549</v>
      </c>
      <c r="I303" s="65" t="s">
        <v>19</v>
      </c>
      <c r="J303" s="66">
        <v>5</v>
      </c>
      <c r="K303" s="89">
        <v>5</v>
      </c>
      <c r="L303" s="68" t="s">
        <v>58</v>
      </c>
      <c r="M303" s="68" t="s">
        <v>15</v>
      </c>
      <c r="N303" s="68" t="s">
        <v>58</v>
      </c>
      <c r="O303" s="68" t="s">
        <v>15</v>
      </c>
      <c r="P303" s="61" t="s">
        <v>550</v>
      </c>
      <c r="Q303" s="69"/>
      <c r="S303" s="9"/>
      <c r="T303" s="14" t="s">
        <v>1555</v>
      </c>
      <c r="U303" s="19">
        <v>1</v>
      </c>
    </row>
    <row r="304" spans="1:21" ht="52.5" customHeight="1" x14ac:dyDescent="0.25">
      <c r="A304" s="284"/>
      <c r="B304" s="324"/>
      <c r="C304" s="216"/>
      <c r="D304" s="233"/>
      <c r="E304" s="233"/>
      <c r="F304" s="236"/>
      <c r="G304" s="239"/>
      <c r="H304" s="70" t="s">
        <v>551</v>
      </c>
      <c r="I304" s="73" t="s">
        <v>19</v>
      </c>
      <c r="J304" s="74">
        <v>6</v>
      </c>
      <c r="K304" s="110">
        <v>5</v>
      </c>
      <c r="L304" s="76" t="s">
        <v>97</v>
      </c>
      <c r="M304" s="76" t="s">
        <v>15</v>
      </c>
      <c r="N304" s="76" t="s">
        <v>97</v>
      </c>
      <c r="O304" s="76" t="s">
        <v>15</v>
      </c>
      <c r="P304" s="70" t="s">
        <v>552</v>
      </c>
      <c r="Q304" s="77" t="s">
        <v>1645</v>
      </c>
      <c r="S304" s="8"/>
      <c r="T304" s="14" t="s">
        <v>1553</v>
      </c>
      <c r="U304" s="13"/>
    </row>
    <row r="305" spans="1:21" ht="63.75" thickBot="1" x14ac:dyDescent="0.3">
      <c r="A305" s="281"/>
      <c r="B305" s="283"/>
      <c r="C305" s="217"/>
      <c r="D305" s="234"/>
      <c r="E305" s="234"/>
      <c r="F305" s="237"/>
      <c r="G305" s="240"/>
      <c r="H305" s="70" t="s">
        <v>553</v>
      </c>
      <c r="I305" s="73" t="s">
        <v>554</v>
      </c>
      <c r="J305" s="74">
        <v>280</v>
      </c>
      <c r="K305" s="111">
        <v>350</v>
      </c>
      <c r="L305" s="76" t="s">
        <v>555</v>
      </c>
      <c r="M305" s="76" t="s">
        <v>15</v>
      </c>
      <c r="N305" s="76" t="s">
        <v>555</v>
      </c>
      <c r="O305" s="76" t="s">
        <v>15</v>
      </c>
      <c r="P305" s="70" t="s">
        <v>557</v>
      </c>
      <c r="Q305" s="77" t="s">
        <v>1646</v>
      </c>
      <c r="S305" s="16"/>
      <c r="T305" s="17" t="s">
        <v>1554</v>
      </c>
      <c r="U305" s="13">
        <v>9</v>
      </c>
    </row>
    <row r="306" spans="1:21" ht="48" thickBot="1" x14ac:dyDescent="0.3">
      <c r="A306" s="53" t="s">
        <v>558</v>
      </c>
      <c r="B306" s="54" t="s">
        <v>559</v>
      </c>
      <c r="C306" s="55"/>
      <c r="D306" s="56">
        <f>SUM(D307:D307)</f>
        <v>43.7</v>
      </c>
      <c r="E306" s="56">
        <f>SUM(E307:E307)</f>
        <v>43.7</v>
      </c>
      <c r="F306" s="56"/>
      <c r="G306" s="57">
        <f>SUM(E306/D306)</f>
        <v>1</v>
      </c>
      <c r="H306" s="55"/>
      <c r="I306" s="58"/>
      <c r="J306" s="59"/>
      <c r="K306" s="59"/>
      <c r="L306" s="60"/>
      <c r="M306" s="60"/>
      <c r="N306" s="60"/>
      <c r="O306" s="60"/>
      <c r="P306" s="210"/>
      <c r="Q306" s="211"/>
    </row>
    <row r="307" spans="1:21" ht="69.75" customHeight="1" x14ac:dyDescent="0.25">
      <c r="A307" s="280" t="s">
        <v>560</v>
      </c>
      <c r="B307" s="282" t="s">
        <v>561</v>
      </c>
      <c r="C307" s="61" t="s">
        <v>27</v>
      </c>
      <c r="D307" s="62">
        <f>SUM(D308:D308)+43.7</f>
        <v>43.7</v>
      </c>
      <c r="E307" s="62">
        <f>SUM(E308:E308)+43.7</f>
        <v>43.7</v>
      </c>
      <c r="F307" s="63"/>
      <c r="G307" s="79">
        <f>SUM(E307/D307)</f>
        <v>1</v>
      </c>
      <c r="H307" s="61" t="s">
        <v>562</v>
      </c>
      <c r="I307" s="65" t="s">
        <v>563</v>
      </c>
      <c r="J307" s="66">
        <v>35</v>
      </c>
      <c r="K307" s="145">
        <v>20</v>
      </c>
      <c r="L307" s="68" t="s">
        <v>227</v>
      </c>
      <c r="M307" s="68" t="s">
        <v>15</v>
      </c>
      <c r="N307" s="68" t="s">
        <v>227</v>
      </c>
      <c r="O307" s="68" t="s">
        <v>15</v>
      </c>
      <c r="P307" s="61" t="s">
        <v>564</v>
      </c>
      <c r="Q307" s="69" t="s">
        <v>1643</v>
      </c>
    </row>
    <row r="308" spans="1:21" ht="63.75" thickBot="1" x14ac:dyDescent="0.3">
      <c r="A308" s="281"/>
      <c r="B308" s="283"/>
      <c r="C308" s="70"/>
      <c r="D308" s="71"/>
      <c r="E308" s="71"/>
      <c r="F308" s="72"/>
      <c r="G308" s="72"/>
      <c r="H308" s="70" t="s">
        <v>565</v>
      </c>
      <c r="I308" s="73" t="s">
        <v>19</v>
      </c>
      <c r="J308" s="74">
        <v>15</v>
      </c>
      <c r="K308" s="111">
        <v>19</v>
      </c>
      <c r="L308" s="76" t="s">
        <v>566</v>
      </c>
      <c r="M308" s="76" t="s">
        <v>15</v>
      </c>
      <c r="N308" s="76" t="s">
        <v>566</v>
      </c>
      <c r="O308" s="76" t="s">
        <v>15</v>
      </c>
      <c r="P308" s="70" t="s">
        <v>567</v>
      </c>
      <c r="Q308" s="77" t="s">
        <v>1644</v>
      </c>
    </row>
    <row r="309" spans="1:21" ht="42.75" customHeight="1" x14ac:dyDescent="0.25">
      <c r="A309" s="254" t="s">
        <v>568</v>
      </c>
      <c r="B309" s="256" t="s">
        <v>569</v>
      </c>
      <c r="C309" s="258"/>
      <c r="D309" s="260">
        <f>D310+D311+D312+D316+D331</f>
        <v>11307.400000000001</v>
      </c>
      <c r="E309" s="260">
        <f>E310+E311+E312+E316+E331</f>
        <v>8914.6</v>
      </c>
      <c r="F309" s="260">
        <f>F310+F311+F312+F316+F331</f>
        <v>2392.8000000000002</v>
      </c>
      <c r="G309" s="273">
        <f>SUM(E309/D309)</f>
        <v>0.78838636645028914</v>
      </c>
      <c r="H309" s="47" t="s">
        <v>570</v>
      </c>
      <c r="I309" s="50" t="s">
        <v>19</v>
      </c>
      <c r="J309" s="51">
        <v>15</v>
      </c>
      <c r="K309" s="51">
        <v>38</v>
      </c>
      <c r="L309" s="52" t="s">
        <v>149</v>
      </c>
      <c r="M309" s="52" t="s">
        <v>15</v>
      </c>
      <c r="N309" s="52" t="s">
        <v>149</v>
      </c>
      <c r="O309" s="52" t="s">
        <v>15</v>
      </c>
      <c r="P309" s="306"/>
      <c r="Q309" s="307"/>
    </row>
    <row r="310" spans="1:21" ht="63" x14ac:dyDescent="0.25">
      <c r="A310" s="269"/>
      <c r="B310" s="270"/>
      <c r="C310" s="271"/>
      <c r="D310" s="272"/>
      <c r="E310" s="272"/>
      <c r="F310" s="272"/>
      <c r="G310" s="274"/>
      <c r="H310" s="105" t="s">
        <v>572</v>
      </c>
      <c r="I310" s="107" t="s">
        <v>14</v>
      </c>
      <c r="J310" s="108">
        <v>0.5</v>
      </c>
      <c r="K310" s="108">
        <v>2.4</v>
      </c>
      <c r="L310" s="144" t="s">
        <v>121</v>
      </c>
      <c r="M310" s="144" t="s">
        <v>15</v>
      </c>
      <c r="N310" s="144" t="s">
        <v>42</v>
      </c>
      <c r="O310" s="144" t="s">
        <v>15</v>
      </c>
      <c r="P310" s="308"/>
      <c r="Q310" s="309"/>
    </row>
    <row r="311" spans="1:21" ht="63.75" thickBot="1" x14ac:dyDescent="0.3">
      <c r="A311" s="255"/>
      <c r="B311" s="257"/>
      <c r="C311" s="259"/>
      <c r="D311" s="261"/>
      <c r="E311" s="261"/>
      <c r="F311" s="261"/>
      <c r="G311" s="275"/>
      <c r="H311" s="105" t="s">
        <v>573</v>
      </c>
      <c r="I311" s="107" t="s">
        <v>14</v>
      </c>
      <c r="J311" s="108">
        <v>3</v>
      </c>
      <c r="K311" s="108">
        <v>-16.2</v>
      </c>
      <c r="L311" s="144" t="s">
        <v>60</v>
      </c>
      <c r="M311" s="144" t="s">
        <v>15</v>
      </c>
      <c r="N311" s="144" t="s">
        <v>60</v>
      </c>
      <c r="O311" s="144" t="s">
        <v>15</v>
      </c>
      <c r="P311" s="310"/>
      <c r="Q311" s="311"/>
    </row>
    <row r="312" spans="1:21" ht="48" thickBot="1" x14ac:dyDescent="0.3">
      <c r="A312" s="53" t="s">
        <v>574</v>
      </c>
      <c r="B312" s="54" t="s">
        <v>575</v>
      </c>
      <c r="C312" s="55"/>
      <c r="D312" s="56">
        <f>SUM(D313:D313)</f>
        <v>58.2</v>
      </c>
      <c r="E312" s="56">
        <f>SUM(E313:E313)</f>
        <v>36.4</v>
      </c>
      <c r="F312" s="56">
        <f>SUM(F313:F313)</f>
        <v>21.8</v>
      </c>
      <c r="G312" s="57">
        <f t="shared" ref="G312:G321" si="17">SUM(E312/D312)</f>
        <v>0.62542955326460481</v>
      </c>
      <c r="H312" s="55"/>
      <c r="I312" s="58"/>
      <c r="J312" s="59"/>
      <c r="K312" s="59"/>
      <c r="L312" s="60"/>
      <c r="M312" s="60"/>
      <c r="N312" s="60"/>
      <c r="O312" s="60"/>
      <c r="P312" s="210"/>
      <c r="Q312" s="211"/>
    </row>
    <row r="313" spans="1:21" ht="117" customHeight="1" x14ac:dyDescent="0.25">
      <c r="A313" s="280" t="s">
        <v>576</v>
      </c>
      <c r="B313" s="282" t="s">
        <v>577</v>
      </c>
      <c r="C313" s="61"/>
      <c r="D313" s="62">
        <f>SUM(D314:D315)</f>
        <v>58.2</v>
      </c>
      <c r="E313" s="62">
        <f>SUM(E314:E315)</f>
        <v>36.4</v>
      </c>
      <c r="F313" s="63">
        <f>SUM(F314:F315)</f>
        <v>21.8</v>
      </c>
      <c r="G313" s="79">
        <f t="shared" si="17"/>
        <v>0.62542955326460481</v>
      </c>
      <c r="H313" s="212" t="s">
        <v>578</v>
      </c>
      <c r="I313" s="215" t="s">
        <v>19</v>
      </c>
      <c r="J313" s="218">
        <v>15</v>
      </c>
      <c r="K313" s="241">
        <v>38</v>
      </c>
      <c r="L313" s="68" t="s">
        <v>149</v>
      </c>
      <c r="M313" s="68" t="s">
        <v>15</v>
      </c>
      <c r="N313" s="68" t="s">
        <v>149</v>
      </c>
      <c r="O313" s="68" t="s">
        <v>15</v>
      </c>
      <c r="P313" s="212" t="s">
        <v>579</v>
      </c>
      <c r="Q313" s="262" t="s">
        <v>1647</v>
      </c>
    </row>
    <row r="314" spans="1:21" ht="15.75" x14ac:dyDescent="0.25">
      <c r="A314" s="284"/>
      <c r="B314" s="324"/>
      <c r="C314" s="70" t="s">
        <v>37</v>
      </c>
      <c r="D314" s="71">
        <v>31.1</v>
      </c>
      <c r="E314" s="71">
        <v>17.7</v>
      </c>
      <c r="F314" s="72">
        <v>13.4</v>
      </c>
      <c r="G314" s="80">
        <f t="shared" si="17"/>
        <v>0.56913183279742763</v>
      </c>
      <c r="H314" s="213"/>
      <c r="I314" s="216"/>
      <c r="J314" s="219"/>
      <c r="K314" s="301"/>
      <c r="L314" s="76"/>
      <c r="M314" s="76"/>
      <c r="N314" s="76"/>
      <c r="O314" s="76"/>
      <c r="P314" s="213"/>
      <c r="Q314" s="264"/>
    </row>
    <row r="315" spans="1:21" ht="33.75" customHeight="1" thickBot="1" x14ac:dyDescent="0.3">
      <c r="A315" s="281"/>
      <c r="B315" s="283"/>
      <c r="C315" s="70" t="s">
        <v>27</v>
      </c>
      <c r="D315" s="71">
        <v>27.1</v>
      </c>
      <c r="E315" s="71">
        <v>18.7</v>
      </c>
      <c r="F315" s="72">
        <v>8.4</v>
      </c>
      <c r="G315" s="91">
        <f t="shared" si="17"/>
        <v>0.69003690036900367</v>
      </c>
      <c r="H315" s="214"/>
      <c r="I315" s="217"/>
      <c r="J315" s="220"/>
      <c r="K315" s="242"/>
      <c r="L315" s="76"/>
      <c r="M315" s="76"/>
      <c r="N315" s="76"/>
      <c r="O315" s="76"/>
      <c r="P315" s="214"/>
      <c r="Q315" s="263"/>
    </row>
    <row r="316" spans="1:21" ht="32.25" thickBot="1" x14ac:dyDescent="0.3">
      <c r="A316" s="53" t="s">
        <v>580</v>
      </c>
      <c r="B316" s="54" t="s">
        <v>581</v>
      </c>
      <c r="C316" s="55"/>
      <c r="D316" s="56">
        <f>D317+D325+D326</f>
        <v>11234.2</v>
      </c>
      <c r="E316" s="56">
        <f>E317+E325+E326</f>
        <v>8868.2000000000007</v>
      </c>
      <c r="F316" s="56">
        <f>F317+F325+F326</f>
        <v>2366</v>
      </c>
      <c r="G316" s="57">
        <f t="shared" si="17"/>
        <v>0.78939310320272027</v>
      </c>
      <c r="H316" s="55"/>
      <c r="I316" s="58"/>
      <c r="J316" s="59"/>
      <c r="K316" s="59"/>
      <c r="L316" s="60"/>
      <c r="M316" s="60"/>
      <c r="N316" s="60"/>
      <c r="O316" s="60"/>
      <c r="P316" s="210"/>
      <c r="Q316" s="211"/>
    </row>
    <row r="317" spans="1:21" ht="288.75" customHeight="1" x14ac:dyDescent="0.25">
      <c r="A317" s="280" t="s">
        <v>582</v>
      </c>
      <c r="B317" s="282" t="s">
        <v>583</v>
      </c>
      <c r="C317" s="61"/>
      <c r="D317" s="62">
        <f>SUM(D318:D324)</f>
        <v>7596.4</v>
      </c>
      <c r="E317" s="62">
        <f>SUM(E318:E324)</f>
        <v>5235.8</v>
      </c>
      <c r="F317" s="63">
        <f>SUM(F318:F324)</f>
        <v>2360.6</v>
      </c>
      <c r="G317" s="79">
        <f t="shared" si="17"/>
        <v>0.68924753830761942</v>
      </c>
      <c r="H317" s="61" t="s">
        <v>584</v>
      </c>
      <c r="I317" s="65" t="s">
        <v>19</v>
      </c>
      <c r="J317" s="66">
        <v>3</v>
      </c>
      <c r="K317" s="128">
        <v>0</v>
      </c>
      <c r="L317" s="68"/>
      <c r="M317" s="68"/>
      <c r="N317" s="68"/>
      <c r="O317" s="68"/>
      <c r="P317" s="146" t="s">
        <v>585</v>
      </c>
      <c r="Q317" s="69" t="s">
        <v>1860</v>
      </c>
    </row>
    <row r="318" spans="1:21" ht="93" customHeight="1" x14ac:dyDescent="0.25">
      <c r="A318" s="284"/>
      <c r="B318" s="324"/>
      <c r="C318" s="70" t="s">
        <v>37</v>
      </c>
      <c r="D318" s="71">
        <v>77.7</v>
      </c>
      <c r="E318" s="71">
        <v>62</v>
      </c>
      <c r="F318" s="72">
        <v>15.7</v>
      </c>
      <c r="G318" s="80">
        <f t="shared" si="17"/>
        <v>0.79794079794079786</v>
      </c>
      <c r="H318" s="70" t="s">
        <v>586</v>
      </c>
      <c r="I318" s="73" t="s">
        <v>416</v>
      </c>
      <c r="J318" s="74">
        <v>4</v>
      </c>
      <c r="K318" s="110">
        <v>2.39</v>
      </c>
      <c r="L318" s="76" t="s">
        <v>587</v>
      </c>
      <c r="M318" s="76" t="s">
        <v>15</v>
      </c>
      <c r="N318" s="76"/>
      <c r="O318" s="76"/>
      <c r="P318" s="70" t="s">
        <v>588</v>
      </c>
      <c r="Q318" s="77" t="s">
        <v>1574</v>
      </c>
    </row>
    <row r="319" spans="1:21" ht="63" x14ac:dyDescent="0.25">
      <c r="A319" s="284"/>
      <c r="B319" s="324"/>
      <c r="C319" s="70" t="s">
        <v>229</v>
      </c>
      <c r="D319" s="71">
        <v>1311.6</v>
      </c>
      <c r="E319" s="71">
        <v>577.20000000000005</v>
      </c>
      <c r="F319" s="72">
        <v>734.4</v>
      </c>
      <c r="G319" s="80">
        <f t="shared" si="17"/>
        <v>0.44007319304666065</v>
      </c>
      <c r="H319" s="70" t="s">
        <v>589</v>
      </c>
      <c r="I319" s="73" t="s">
        <v>19</v>
      </c>
      <c r="J319" s="74">
        <v>10</v>
      </c>
      <c r="K319" s="75">
        <v>0</v>
      </c>
      <c r="L319" s="76"/>
      <c r="M319" s="76"/>
      <c r="N319" s="76"/>
      <c r="O319" s="76"/>
      <c r="P319" s="70" t="s">
        <v>590</v>
      </c>
      <c r="Q319" s="77" t="s">
        <v>1648</v>
      </c>
    </row>
    <row r="320" spans="1:21" ht="139.5" customHeight="1" x14ac:dyDescent="0.25">
      <c r="A320" s="284"/>
      <c r="B320" s="324"/>
      <c r="C320" s="70" t="s">
        <v>27</v>
      </c>
      <c r="D320" s="71">
        <v>314.3</v>
      </c>
      <c r="E320" s="71">
        <v>110.9</v>
      </c>
      <c r="F320" s="72">
        <v>203.4</v>
      </c>
      <c r="G320" s="80">
        <f t="shared" si="17"/>
        <v>0.35284759783646197</v>
      </c>
      <c r="H320" s="70" t="s">
        <v>591</v>
      </c>
      <c r="I320" s="73" t="s">
        <v>416</v>
      </c>
      <c r="J320" s="74">
        <v>1.35</v>
      </c>
      <c r="K320" s="81">
        <v>1.35</v>
      </c>
      <c r="L320" s="76" t="s">
        <v>15</v>
      </c>
      <c r="M320" s="76" t="s">
        <v>15</v>
      </c>
      <c r="N320" s="76" t="s">
        <v>592</v>
      </c>
      <c r="O320" s="76" t="s">
        <v>15</v>
      </c>
      <c r="P320" s="70" t="s">
        <v>593</v>
      </c>
      <c r="Q320" s="124" t="s">
        <v>1649</v>
      </c>
    </row>
    <row r="321" spans="1:17" ht="67.5" customHeight="1" x14ac:dyDescent="0.25">
      <c r="A321" s="284"/>
      <c r="B321" s="324"/>
      <c r="C321" s="70" t="s">
        <v>175</v>
      </c>
      <c r="D321" s="71">
        <v>5892.8</v>
      </c>
      <c r="E321" s="71">
        <v>4485.7</v>
      </c>
      <c r="F321" s="72">
        <v>1407.1</v>
      </c>
      <c r="G321" s="91">
        <f t="shared" si="17"/>
        <v>0.76121707846863962</v>
      </c>
      <c r="H321" s="70" t="s">
        <v>594</v>
      </c>
      <c r="I321" s="73" t="s">
        <v>19</v>
      </c>
      <c r="J321" s="74">
        <v>1</v>
      </c>
      <c r="K321" s="81">
        <v>1</v>
      </c>
      <c r="L321" s="76"/>
      <c r="M321" s="76"/>
      <c r="N321" s="76"/>
      <c r="O321" s="76"/>
      <c r="P321" s="70" t="s">
        <v>595</v>
      </c>
      <c r="Q321" s="77"/>
    </row>
    <row r="322" spans="1:17" ht="78.75" x14ac:dyDescent="0.25">
      <c r="A322" s="284"/>
      <c r="B322" s="324"/>
      <c r="C322" s="70"/>
      <c r="D322" s="71"/>
      <c r="E322" s="71"/>
      <c r="F322" s="72"/>
      <c r="G322" s="72"/>
      <c r="H322" s="70" t="s">
        <v>596</v>
      </c>
      <c r="I322" s="73" t="s">
        <v>416</v>
      </c>
      <c r="J322" s="74">
        <v>3.32</v>
      </c>
      <c r="K322" s="81">
        <v>3.32</v>
      </c>
      <c r="L322" s="76"/>
      <c r="M322" s="76"/>
      <c r="N322" s="76"/>
      <c r="O322" s="76"/>
      <c r="P322" s="70" t="s">
        <v>597</v>
      </c>
      <c r="Q322" s="77"/>
    </row>
    <row r="323" spans="1:17" ht="78.75" x14ac:dyDescent="0.25">
      <c r="A323" s="284"/>
      <c r="B323" s="324"/>
      <c r="C323" s="70"/>
      <c r="D323" s="71"/>
      <c r="E323" s="71"/>
      <c r="F323" s="72"/>
      <c r="G323" s="72"/>
      <c r="H323" s="246" t="s">
        <v>598</v>
      </c>
      <c r="I323" s="247" t="s">
        <v>416</v>
      </c>
      <c r="J323" s="248">
        <v>1.4</v>
      </c>
      <c r="K323" s="249">
        <v>1.4</v>
      </c>
      <c r="L323" s="76"/>
      <c r="M323" s="76"/>
      <c r="N323" s="76" t="s">
        <v>15</v>
      </c>
      <c r="O323" s="76" t="s">
        <v>15</v>
      </c>
      <c r="P323" s="70" t="s">
        <v>599</v>
      </c>
      <c r="Q323" s="77" t="s">
        <v>1650</v>
      </c>
    </row>
    <row r="324" spans="1:17" ht="32.25" thickBot="1" x14ac:dyDescent="0.3">
      <c r="A324" s="281"/>
      <c r="B324" s="283"/>
      <c r="C324" s="70"/>
      <c r="D324" s="71"/>
      <c r="E324" s="71"/>
      <c r="F324" s="72"/>
      <c r="G324" s="72"/>
      <c r="H324" s="214"/>
      <c r="I324" s="217"/>
      <c r="J324" s="220"/>
      <c r="K324" s="245"/>
      <c r="L324" s="76" t="s">
        <v>29</v>
      </c>
      <c r="M324" s="76" t="s">
        <v>15</v>
      </c>
      <c r="N324" s="76"/>
      <c r="O324" s="76"/>
      <c r="P324" s="70" t="s">
        <v>600</v>
      </c>
      <c r="Q324" s="77"/>
    </row>
    <row r="325" spans="1:17" ht="63.75" thickBot="1" x14ac:dyDescent="0.3">
      <c r="A325" s="93" t="s">
        <v>601</v>
      </c>
      <c r="B325" s="94" t="s">
        <v>602</v>
      </c>
      <c r="C325" s="61" t="s">
        <v>27</v>
      </c>
      <c r="D325" s="95">
        <v>210</v>
      </c>
      <c r="E325" s="95">
        <v>210</v>
      </c>
      <c r="F325" s="96"/>
      <c r="G325" s="79">
        <f>SUM(E325/D325)</f>
        <v>1</v>
      </c>
      <c r="H325" s="61" t="s">
        <v>603</v>
      </c>
      <c r="I325" s="65" t="s">
        <v>14</v>
      </c>
      <c r="J325" s="66">
        <v>100</v>
      </c>
      <c r="K325" s="89">
        <v>100</v>
      </c>
      <c r="L325" s="68" t="s">
        <v>54</v>
      </c>
      <c r="M325" s="68" t="s">
        <v>15</v>
      </c>
      <c r="N325" s="68" t="s">
        <v>54</v>
      </c>
      <c r="O325" s="68" t="s">
        <v>15</v>
      </c>
      <c r="P325" s="61" t="s">
        <v>604</v>
      </c>
      <c r="Q325" s="69"/>
    </row>
    <row r="326" spans="1:17" ht="72" customHeight="1" x14ac:dyDescent="0.25">
      <c r="A326" s="280" t="s">
        <v>605</v>
      </c>
      <c r="B326" s="282" t="s">
        <v>606</v>
      </c>
      <c r="C326" s="61"/>
      <c r="D326" s="62">
        <f>SUM(D327:D330)</f>
        <v>3427.8</v>
      </c>
      <c r="E326" s="62">
        <f>SUM(E327:E330)</f>
        <v>3422.4</v>
      </c>
      <c r="F326" s="63">
        <f>SUM(F327:F330)</f>
        <v>5.4</v>
      </c>
      <c r="G326" s="79">
        <f>SUM(E326/D326)</f>
        <v>0.99842464554524768</v>
      </c>
      <c r="H326" s="61" t="s">
        <v>607</v>
      </c>
      <c r="I326" s="65" t="s">
        <v>14</v>
      </c>
      <c r="J326" s="66">
        <v>100</v>
      </c>
      <c r="K326" s="89">
        <v>100</v>
      </c>
      <c r="L326" s="68"/>
      <c r="M326" s="68"/>
      <c r="N326" s="68"/>
      <c r="O326" s="68"/>
      <c r="P326" s="212" t="s">
        <v>608</v>
      </c>
      <c r="Q326" s="227" t="s">
        <v>1796</v>
      </c>
    </row>
    <row r="327" spans="1:17" ht="47.25" x14ac:dyDescent="0.25">
      <c r="A327" s="284"/>
      <c r="B327" s="324"/>
      <c r="C327" s="70" t="s">
        <v>37</v>
      </c>
      <c r="D327" s="71">
        <v>907.8</v>
      </c>
      <c r="E327" s="71">
        <v>902.4</v>
      </c>
      <c r="F327" s="72">
        <v>5.4</v>
      </c>
      <c r="G327" s="80">
        <f>SUM(E327/D327)</f>
        <v>0.99405155320555194</v>
      </c>
      <c r="H327" s="70" t="s">
        <v>609</v>
      </c>
      <c r="I327" s="73" t="s">
        <v>14</v>
      </c>
      <c r="J327" s="74">
        <v>100</v>
      </c>
      <c r="K327" s="81">
        <v>100</v>
      </c>
      <c r="L327" s="76"/>
      <c r="M327" s="76"/>
      <c r="N327" s="76"/>
      <c r="O327" s="76"/>
      <c r="P327" s="213"/>
      <c r="Q327" s="228"/>
    </row>
    <row r="328" spans="1:17" ht="47.25" x14ac:dyDescent="0.25">
      <c r="A328" s="284"/>
      <c r="B328" s="324"/>
      <c r="C328" s="70" t="s">
        <v>175</v>
      </c>
      <c r="D328" s="71">
        <v>2520</v>
      </c>
      <c r="E328" s="71">
        <v>2520</v>
      </c>
      <c r="F328" s="72"/>
      <c r="G328" s="91">
        <f>SUM(E328/D328)</f>
        <v>1</v>
      </c>
      <c r="H328" s="70" t="s">
        <v>610</v>
      </c>
      <c r="I328" s="73" t="s">
        <v>14</v>
      </c>
      <c r="J328" s="74">
        <v>100</v>
      </c>
      <c r="K328" s="81">
        <v>100</v>
      </c>
      <c r="L328" s="76"/>
      <c r="M328" s="76"/>
      <c r="N328" s="76"/>
      <c r="O328" s="76"/>
      <c r="P328" s="213"/>
      <c r="Q328" s="228"/>
    </row>
    <row r="329" spans="1:17" ht="47.25" x14ac:dyDescent="0.25">
      <c r="A329" s="284"/>
      <c r="B329" s="324"/>
      <c r="C329" s="70"/>
      <c r="D329" s="71"/>
      <c r="E329" s="71"/>
      <c r="F329" s="72"/>
      <c r="G329" s="72"/>
      <c r="H329" s="70" t="s">
        <v>611</v>
      </c>
      <c r="I329" s="73" t="s">
        <v>14</v>
      </c>
      <c r="J329" s="74">
        <v>100</v>
      </c>
      <c r="K329" s="81">
        <v>100</v>
      </c>
      <c r="L329" s="76"/>
      <c r="M329" s="76"/>
      <c r="N329" s="76"/>
      <c r="O329" s="76"/>
      <c r="P329" s="213"/>
      <c r="Q329" s="228"/>
    </row>
    <row r="330" spans="1:17" ht="79.5" thickBot="1" x14ac:dyDescent="0.3">
      <c r="A330" s="281"/>
      <c r="B330" s="283"/>
      <c r="C330" s="70"/>
      <c r="D330" s="71"/>
      <c r="E330" s="71"/>
      <c r="F330" s="72"/>
      <c r="G330" s="72"/>
      <c r="H330" s="70" t="s">
        <v>612</v>
      </c>
      <c r="I330" s="73" t="s">
        <v>14</v>
      </c>
      <c r="J330" s="74">
        <v>100</v>
      </c>
      <c r="K330" s="81">
        <v>100</v>
      </c>
      <c r="L330" s="76"/>
      <c r="M330" s="76"/>
      <c r="N330" s="76"/>
      <c r="O330" s="76"/>
      <c r="P330" s="214"/>
      <c r="Q330" s="229"/>
    </row>
    <row r="331" spans="1:17" ht="32.25" thickBot="1" x14ac:dyDescent="0.3">
      <c r="A331" s="53" t="s">
        <v>613</v>
      </c>
      <c r="B331" s="54" t="s">
        <v>614</v>
      </c>
      <c r="C331" s="55"/>
      <c r="D331" s="56">
        <f>D332+D335</f>
        <v>15</v>
      </c>
      <c r="E331" s="56">
        <f>E332+E335</f>
        <v>10</v>
      </c>
      <c r="F331" s="56">
        <f>F332+F335</f>
        <v>5</v>
      </c>
      <c r="G331" s="57">
        <f t="shared" ref="G331:G353" si="18">SUM(E331/D331)</f>
        <v>0.66666666666666663</v>
      </c>
      <c r="H331" s="55"/>
      <c r="I331" s="58"/>
      <c r="J331" s="59"/>
      <c r="K331" s="59"/>
      <c r="L331" s="60"/>
      <c r="M331" s="60"/>
      <c r="N331" s="60"/>
      <c r="O331" s="60"/>
      <c r="P331" s="345"/>
      <c r="Q331" s="346"/>
    </row>
    <row r="332" spans="1:17" ht="113.25" customHeight="1" x14ac:dyDescent="0.25">
      <c r="A332" s="280" t="s">
        <v>615</v>
      </c>
      <c r="B332" s="282" t="s">
        <v>616</v>
      </c>
      <c r="C332" s="61"/>
      <c r="D332" s="62">
        <f>SUM(D333:D334)</f>
        <v>9.1</v>
      </c>
      <c r="E332" s="62">
        <f>SUM(E333:E334)</f>
        <v>9.1</v>
      </c>
      <c r="F332" s="63"/>
      <c r="G332" s="79">
        <f t="shared" si="18"/>
        <v>1</v>
      </c>
      <c r="H332" s="61" t="s">
        <v>617</v>
      </c>
      <c r="I332" s="65" t="s">
        <v>19</v>
      </c>
      <c r="J332" s="66">
        <v>3</v>
      </c>
      <c r="K332" s="89">
        <v>3</v>
      </c>
      <c r="L332" s="68" t="s">
        <v>59</v>
      </c>
      <c r="M332" s="68" t="s">
        <v>15</v>
      </c>
      <c r="N332" s="68" t="s">
        <v>59</v>
      </c>
      <c r="O332" s="68" t="s">
        <v>15</v>
      </c>
      <c r="P332" s="300" t="s">
        <v>1651</v>
      </c>
      <c r="Q332" s="69" t="s">
        <v>1817</v>
      </c>
    </row>
    <row r="333" spans="1:17" ht="32.25" customHeight="1" x14ac:dyDescent="0.25">
      <c r="A333" s="284"/>
      <c r="B333" s="324"/>
      <c r="C333" s="70" t="s">
        <v>27</v>
      </c>
      <c r="D333" s="71">
        <v>2.5</v>
      </c>
      <c r="E333" s="71">
        <v>2.5</v>
      </c>
      <c r="F333" s="72"/>
      <c r="G333" s="80">
        <f t="shared" si="18"/>
        <v>1</v>
      </c>
      <c r="H333" s="246" t="s">
        <v>618</v>
      </c>
      <c r="I333" s="247" t="s">
        <v>19</v>
      </c>
      <c r="J333" s="248">
        <v>1</v>
      </c>
      <c r="K333" s="321">
        <v>0</v>
      </c>
      <c r="L333" s="76" t="s">
        <v>29</v>
      </c>
      <c r="M333" s="76" t="s">
        <v>15</v>
      </c>
      <c r="N333" s="76" t="s">
        <v>29</v>
      </c>
      <c r="O333" s="76" t="s">
        <v>15</v>
      </c>
      <c r="P333" s="293"/>
      <c r="Q333" s="286" t="s">
        <v>1652</v>
      </c>
    </row>
    <row r="334" spans="1:17" ht="33" customHeight="1" thickBot="1" x14ac:dyDescent="0.3">
      <c r="A334" s="281"/>
      <c r="B334" s="283"/>
      <c r="C334" s="70" t="s">
        <v>37</v>
      </c>
      <c r="D334" s="71">
        <v>6.6</v>
      </c>
      <c r="E334" s="71">
        <v>6.6</v>
      </c>
      <c r="F334" s="72"/>
      <c r="G334" s="91">
        <f t="shared" si="18"/>
        <v>1</v>
      </c>
      <c r="H334" s="214"/>
      <c r="I334" s="217"/>
      <c r="J334" s="220"/>
      <c r="K334" s="299"/>
      <c r="L334" s="76"/>
      <c r="M334" s="76"/>
      <c r="N334" s="76"/>
      <c r="O334" s="76"/>
      <c r="P334" s="266"/>
      <c r="Q334" s="229"/>
    </row>
    <row r="335" spans="1:17" ht="62.25" customHeight="1" x14ac:dyDescent="0.25">
      <c r="A335" s="280" t="s">
        <v>619</v>
      </c>
      <c r="B335" s="282" t="s">
        <v>620</v>
      </c>
      <c r="C335" s="61"/>
      <c r="D335" s="62">
        <f>SUM(D336:D337)</f>
        <v>5.9</v>
      </c>
      <c r="E335" s="62">
        <f>SUM(E336:E337)</f>
        <v>0.9</v>
      </c>
      <c r="F335" s="63">
        <f>SUM(F336:F337)</f>
        <v>5</v>
      </c>
      <c r="G335" s="79">
        <f t="shared" si="18"/>
        <v>0.15254237288135591</v>
      </c>
      <c r="H335" s="212" t="s">
        <v>621</v>
      </c>
      <c r="I335" s="215" t="s">
        <v>19</v>
      </c>
      <c r="J335" s="218">
        <v>20</v>
      </c>
      <c r="K335" s="342">
        <v>1</v>
      </c>
      <c r="L335" s="68" t="s">
        <v>109</v>
      </c>
      <c r="M335" s="68" t="s">
        <v>15</v>
      </c>
      <c r="N335" s="68" t="s">
        <v>109</v>
      </c>
      <c r="O335" s="68" t="s">
        <v>15</v>
      </c>
      <c r="P335" s="212" t="s">
        <v>622</v>
      </c>
      <c r="Q335" s="227" t="s">
        <v>1653</v>
      </c>
    </row>
    <row r="336" spans="1:17" ht="30" customHeight="1" x14ac:dyDescent="0.25">
      <c r="A336" s="284"/>
      <c r="B336" s="324"/>
      <c r="C336" s="70" t="s">
        <v>165</v>
      </c>
      <c r="D336" s="71">
        <v>5</v>
      </c>
      <c r="E336" s="71"/>
      <c r="F336" s="72">
        <v>5</v>
      </c>
      <c r="G336" s="80">
        <f t="shared" si="18"/>
        <v>0</v>
      </c>
      <c r="H336" s="213"/>
      <c r="I336" s="216"/>
      <c r="J336" s="219"/>
      <c r="K336" s="343"/>
      <c r="L336" s="76"/>
      <c r="M336" s="76"/>
      <c r="N336" s="76"/>
      <c r="O336" s="76"/>
      <c r="P336" s="213"/>
      <c r="Q336" s="228"/>
    </row>
    <row r="337" spans="1:21" ht="45.75" customHeight="1" thickBot="1" x14ac:dyDescent="0.3">
      <c r="A337" s="281"/>
      <c r="B337" s="283"/>
      <c r="C337" s="70" t="s">
        <v>27</v>
      </c>
      <c r="D337" s="71">
        <v>0.9</v>
      </c>
      <c r="E337" s="71">
        <v>0.9</v>
      </c>
      <c r="F337" s="72"/>
      <c r="G337" s="91">
        <f t="shared" si="18"/>
        <v>1</v>
      </c>
      <c r="H337" s="214"/>
      <c r="I337" s="217"/>
      <c r="J337" s="220"/>
      <c r="K337" s="344"/>
      <c r="L337" s="76"/>
      <c r="M337" s="76"/>
      <c r="N337" s="76"/>
      <c r="O337" s="76"/>
      <c r="P337" s="214"/>
      <c r="Q337" s="229"/>
    </row>
    <row r="338" spans="1:21" ht="48" thickBot="1" x14ac:dyDescent="0.3">
      <c r="A338" s="37" t="s">
        <v>623</v>
      </c>
      <c r="B338" s="38" t="s">
        <v>624</v>
      </c>
      <c r="C338" s="39"/>
      <c r="D338" s="40">
        <f>SUM(D339:D339)</f>
        <v>144.4</v>
      </c>
      <c r="E338" s="40">
        <f>SUM(E339:E339)</f>
        <v>120.89999999999999</v>
      </c>
      <c r="F338" s="40">
        <f>SUM(F339:F339)</f>
        <v>23.5</v>
      </c>
      <c r="G338" s="41">
        <f t="shared" si="18"/>
        <v>0.8372576177285318</v>
      </c>
      <c r="H338" s="39"/>
      <c r="I338" s="42"/>
      <c r="J338" s="43"/>
      <c r="K338" s="43"/>
      <c r="L338" s="44"/>
      <c r="M338" s="44"/>
      <c r="N338" s="44"/>
      <c r="O338" s="44"/>
      <c r="P338" s="267"/>
      <c r="Q338" s="268"/>
    </row>
    <row r="339" spans="1:21" ht="95.25" thickBot="1" x14ac:dyDescent="0.3">
      <c r="A339" s="45" t="s">
        <v>625</v>
      </c>
      <c r="B339" s="46" t="s">
        <v>626</v>
      </c>
      <c r="C339" s="47"/>
      <c r="D339" s="48">
        <f>D340+D344+D350</f>
        <v>144.4</v>
      </c>
      <c r="E339" s="48">
        <f>E340+E344+E350</f>
        <v>120.89999999999999</v>
      </c>
      <c r="F339" s="48">
        <f>F340+F344+F350</f>
        <v>23.5</v>
      </c>
      <c r="G339" s="49">
        <f t="shared" si="18"/>
        <v>0.8372576177285318</v>
      </c>
      <c r="H339" s="47" t="s">
        <v>627</v>
      </c>
      <c r="I339" s="50" t="s">
        <v>14</v>
      </c>
      <c r="J339" s="51">
        <v>90</v>
      </c>
      <c r="K339" s="97">
        <v>90</v>
      </c>
      <c r="L339" s="52" t="s">
        <v>628</v>
      </c>
      <c r="M339" s="52" t="s">
        <v>15</v>
      </c>
      <c r="N339" s="52" t="s">
        <v>629</v>
      </c>
      <c r="O339" s="52" t="s">
        <v>15</v>
      </c>
      <c r="P339" s="230"/>
      <c r="Q339" s="231"/>
      <c r="S339" s="3"/>
      <c r="T339" s="10" t="s">
        <v>1</v>
      </c>
      <c r="U339" s="10" t="s">
        <v>1551</v>
      </c>
    </row>
    <row r="340" spans="1:21" ht="111" thickBot="1" x14ac:dyDescent="0.3">
      <c r="A340" s="53" t="s">
        <v>630</v>
      </c>
      <c r="B340" s="54" t="s">
        <v>631</v>
      </c>
      <c r="C340" s="55"/>
      <c r="D340" s="56">
        <f>SUM(D341:D343)</f>
        <v>41.1</v>
      </c>
      <c r="E340" s="56">
        <f>SUM(E341:E343)-0.1</f>
        <v>24.6</v>
      </c>
      <c r="F340" s="56">
        <f>SUM(F341:F343)+0.1</f>
        <v>16.5</v>
      </c>
      <c r="G340" s="57">
        <f t="shared" si="18"/>
        <v>0.59854014598540151</v>
      </c>
      <c r="H340" s="55"/>
      <c r="I340" s="58"/>
      <c r="J340" s="59"/>
      <c r="K340" s="59"/>
      <c r="L340" s="60"/>
      <c r="M340" s="60"/>
      <c r="N340" s="60"/>
      <c r="O340" s="60"/>
      <c r="P340" s="210"/>
      <c r="Q340" s="211"/>
      <c r="S340" s="7"/>
      <c r="T340" s="14" t="s">
        <v>1552</v>
      </c>
      <c r="U340" s="11">
        <v>5</v>
      </c>
    </row>
    <row r="341" spans="1:21" ht="84.75" customHeight="1" thickBot="1" x14ac:dyDescent="0.3">
      <c r="A341" s="93" t="s">
        <v>632</v>
      </c>
      <c r="B341" s="94" t="s">
        <v>633</v>
      </c>
      <c r="C341" s="61" t="s">
        <v>27</v>
      </c>
      <c r="D341" s="95">
        <v>19.100000000000001</v>
      </c>
      <c r="E341" s="95">
        <v>13.4</v>
      </c>
      <c r="F341" s="96">
        <v>5.7</v>
      </c>
      <c r="G341" s="79">
        <f t="shared" si="18"/>
        <v>0.70157068062827221</v>
      </c>
      <c r="H341" s="61" t="s">
        <v>634</v>
      </c>
      <c r="I341" s="65" t="s">
        <v>19</v>
      </c>
      <c r="J341" s="66">
        <v>100</v>
      </c>
      <c r="K341" s="109">
        <v>103</v>
      </c>
      <c r="L341" s="68" t="s">
        <v>54</v>
      </c>
      <c r="M341" s="68" t="s">
        <v>15</v>
      </c>
      <c r="N341" s="68" t="s">
        <v>54</v>
      </c>
      <c r="O341" s="68" t="s">
        <v>15</v>
      </c>
      <c r="P341" s="129" t="s">
        <v>1861</v>
      </c>
      <c r="Q341" s="69" t="s">
        <v>1654</v>
      </c>
      <c r="S341" s="4"/>
      <c r="T341" s="14" t="s">
        <v>1556</v>
      </c>
      <c r="U341" s="11"/>
    </row>
    <row r="342" spans="1:21" ht="104.25" customHeight="1" thickBot="1" x14ac:dyDescent="0.3">
      <c r="A342" s="93" t="s">
        <v>635</v>
      </c>
      <c r="B342" s="94" t="s">
        <v>636</v>
      </c>
      <c r="C342" s="61" t="s">
        <v>27</v>
      </c>
      <c r="D342" s="95">
        <v>20</v>
      </c>
      <c r="E342" s="95">
        <v>11.3</v>
      </c>
      <c r="F342" s="96">
        <v>8.6999999999999993</v>
      </c>
      <c r="G342" s="79">
        <f t="shared" si="18"/>
        <v>0.56500000000000006</v>
      </c>
      <c r="H342" s="61" t="s">
        <v>637</v>
      </c>
      <c r="I342" s="65" t="s">
        <v>14</v>
      </c>
      <c r="J342" s="66">
        <v>100</v>
      </c>
      <c r="K342" s="89">
        <v>100</v>
      </c>
      <c r="L342" s="68" t="s">
        <v>54</v>
      </c>
      <c r="M342" s="68" t="s">
        <v>15</v>
      </c>
      <c r="N342" s="68" t="s">
        <v>54</v>
      </c>
      <c r="O342" s="68" t="s">
        <v>15</v>
      </c>
      <c r="P342" s="147" t="s">
        <v>1862</v>
      </c>
      <c r="Q342" s="90"/>
      <c r="S342" s="6"/>
      <c r="T342" s="14" t="s">
        <v>1557</v>
      </c>
      <c r="U342" s="11"/>
    </row>
    <row r="343" spans="1:21" ht="63.75" thickBot="1" x14ac:dyDescent="0.3">
      <c r="A343" s="93" t="s">
        <v>638</v>
      </c>
      <c r="B343" s="94" t="s">
        <v>639</v>
      </c>
      <c r="C343" s="61" t="s">
        <v>27</v>
      </c>
      <c r="D343" s="95">
        <v>2</v>
      </c>
      <c r="E343" s="95"/>
      <c r="F343" s="96">
        <v>2</v>
      </c>
      <c r="G343" s="79">
        <f t="shared" si="18"/>
        <v>0</v>
      </c>
      <c r="H343" s="61" t="s">
        <v>640</v>
      </c>
      <c r="I343" s="65" t="s">
        <v>19</v>
      </c>
      <c r="J343" s="66">
        <v>2</v>
      </c>
      <c r="K343" s="67">
        <v>0</v>
      </c>
      <c r="L343" s="68" t="s">
        <v>42</v>
      </c>
      <c r="M343" s="68" t="s">
        <v>15</v>
      </c>
      <c r="N343" s="68" t="s">
        <v>42</v>
      </c>
      <c r="O343" s="68" t="s">
        <v>15</v>
      </c>
      <c r="P343" s="129"/>
      <c r="Q343" s="69" t="s">
        <v>1655</v>
      </c>
      <c r="S343" s="9"/>
      <c r="T343" s="14" t="s">
        <v>1555</v>
      </c>
      <c r="U343" s="19">
        <v>1</v>
      </c>
    </row>
    <row r="344" spans="1:21" ht="111" thickBot="1" x14ac:dyDescent="0.3">
      <c r="A344" s="53" t="s">
        <v>641</v>
      </c>
      <c r="B344" s="54" t="s">
        <v>642</v>
      </c>
      <c r="C344" s="55"/>
      <c r="D344" s="56">
        <f>SUM(D345:D347)</f>
        <v>101.10000000000001</v>
      </c>
      <c r="E344" s="56">
        <f>SUM(E345:E347)</f>
        <v>95.5</v>
      </c>
      <c r="F344" s="56">
        <f>SUM(F345:F347)</f>
        <v>5.6</v>
      </c>
      <c r="G344" s="57">
        <f t="shared" si="18"/>
        <v>0.94460929772502467</v>
      </c>
      <c r="H344" s="55"/>
      <c r="I344" s="58"/>
      <c r="J344" s="59"/>
      <c r="K344" s="59"/>
      <c r="L344" s="60"/>
      <c r="M344" s="60"/>
      <c r="N344" s="60"/>
      <c r="O344" s="60"/>
      <c r="P344" s="210"/>
      <c r="Q344" s="211"/>
      <c r="S344" s="8"/>
      <c r="T344" s="14" t="s">
        <v>1553</v>
      </c>
      <c r="U344" s="13">
        <v>1</v>
      </c>
    </row>
    <row r="345" spans="1:21" ht="142.5" thickBot="1" x14ac:dyDescent="0.3">
      <c r="A345" s="93" t="s">
        <v>643</v>
      </c>
      <c r="B345" s="94" t="s">
        <v>644</v>
      </c>
      <c r="C345" s="61" t="s">
        <v>27</v>
      </c>
      <c r="D345" s="95">
        <v>82.7</v>
      </c>
      <c r="E345" s="95">
        <v>80.599999999999994</v>
      </c>
      <c r="F345" s="96">
        <v>2.1</v>
      </c>
      <c r="G345" s="79">
        <f t="shared" si="18"/>
        <v>0.97460701330108812</v>
      </c>
      <c r="H345" s="61" t="s">
        <v>645</v>
      </c>
      <c r="I345" s="65" t="s">
        <v>14</v>
      </c>
      <c r="J345" s="66">
        <v>100</v>
      </c>
      <c r="K345" s="89">
        <v>100</v>
      </c>
      <c r="L345" s="68" t="s">
        <v>54</v>
      </c>
      <c r="M345" s="68" t="s">
        <v>15</v>
      </c>
      <c r="N345" s="68" t="s">
        <v>54</v>
      </c>
      <c r="O345" s="68" t="s">
        <v>15</v>
      </c>
      <c r="P345" s="61" t="s">
        <v>646</v>
      </c>
      <c r="Q345" s="90"/>
      <c r="S345" s="16"/>
      <c r="T345" s="17" t="s">
        <v>1554</v>
      </c>
      <c r="U345" s="13">
        <v>7</v>
      </c>
    </row>
    <row r="346" spans="1:21" ht="111" thickBot="1" x14ac:dyDescent="0.3">
      <c r="A346" s="93" t="s">
        <v>647</v>
      </c>
      <c r="B346" s="94" t="s">
        <v>648</v>
      </c>
      <c r="C346" s="61" t="s">
        <v>27</v>
      </c>
      <c r="D346" s="95">
        <v>10.9</v>
      </c>
      <c r="E346" s="95">
        <v>7.5</v>
      </c>
      <c r="F346" s="96">
        <v>3.4</v>
      </c>
      <c r="G346" s="79">
        <f t="shared" si="18"/>
        <v>0.68807339449541283</v>
      </c>
      <c r="H346" s="61" t="s">
        <v>649</v>
      </c>
      <c r="I346" s="65" t="s">
        <v>14</v>
      </c>
      <c r="J346" s="66">
        <v>100</v>
      </c>
      <c r="K346" s="89">
        <v>100</v>
      </c>
      <c r="L346" s="68" t="s">
        <v>54</v>
      </c>
      <c r="M346" s="68" t="s">
        <v>15</v>
      </c>
      <c r="N346" s="68" t="s">
        <v>54</v>
      </c>
      <c r="O346" s="68" t="s">
        <v>15</v>
      </c>
      <c r="P346" s="61" t="s">
        <v>1863</v>
      </c>
      <c r="Q346" s="90"/>
    </row>
    <row r="347" spans="1:21" ht="38.25" customHeight="1" x14ac:dyDescent="0.25">
      <c r="A347" s="280" t="s">
        <v>650</v>
      </c>
      <c r="B347" s="282" t="s">
        <v>651</v>
      </c>
      <c r="C347" s="61"/>
      <c r="D347" s="62">
        <f>SUM(D348:D349)</f>
        <v>7.5</v>
      </c>
      <c r="E347" s="62">
        <f>SUM(E348:E349)</f>
        <v>7.4</v>
      </c>
      <c r="F347" s="63">
        <f>SUM(F348:F349)</f>
        <v>0.1</v>
      </c>
      <c r="G347" s="79">
        <f t="shared" si="18"/>
        <v>0.98666666666666669</v>
      </c>
      <c r="H347" s="212" t="s">
        <v>652</v>
      </c>
      <c r="I347" s="215" t="s">
        <v>19</v>
      </c>
      <c r="J347" s="218">
        <v>2</v>
      </c>
      <c r="K347" s="243">
        <v>2</v>
      </c>
      <c r="L347" s="68"/>
      <c r="M347" s="68"/>
      <c r="N347" s="68"/>
      <c r="O347" s="68"/>
      <c r="P347" s="212" t="s">
        <v>653</v>
      </c>
      <c r="Q347" s="227"/>
    </row>
    <row r="348" spans="1:21" ht="15.75" x14ac:dyDescent="0.25">
      <c r="A348" s="284"/>
      <c r="B348" s="324"/>
      <c r="C348" s="70" t="s">
        <v>27</v>
      </c>
      <c r="D348" s="71">
        <v>1.2</v>
      </c>
      <c r="E348" s="71">
        <v>1.1000000000000001</v>
      </c>
      <c r="F348" s="72">
        <v>0.1</v>
      </c>
      <c r="G348" s="80">
        <f t="shared" si="18"/>
        <v>0.91666666666666674</v>
      </c>
      <c r="H348" s="213"/>
      <c r="I348" s="216"/>
      <c r="J348" s="219"/>
      <c r="K348" s="244"/>
      <c r="L348" s="76"/>
      <c r="M348" s="76"/>
      <c r="N348" s="76"/>
      <c r="O348" s="76"/>
      <c r="P348" s="213"/>
      <c r="Q348" s="228"/>
    </row>
    <row r="349" spans="1:21" ht="16.5" thickBot="1" x14ac:dyDescent="0.3">
      <c r="A349" s="281"/>
      <c r="B349" s="283"/>
      <c r="C349" s="70" t="s">
        <v>229</v>
      </c>
      <c r="D349" s="71">
        <v>6.3</v>
      </c>
      <c r="E349" s="71">
        <v>6.3</v>
      </c>
      <c r="F349" s="72"/>
      <c r="G349" s="91">
        <f t="shared" si="18"/>
        <v>1</v>
      </c>
      <c r="H349" s="214"/>
      <c r="I349" s="217"/>
      <c r="J349" s="220"/>
      <c r="K349" s="245"/>
      <c r="L349" s="76"/>
      <c r="M349" s="76"/>
      <c r="N349" s="76"/>
      <c r="O349" s="76"/>
      <c r="P349" s="214"/>
      <c r="Q349" s="229"/>
    </row>
    <row r="350" spans="1:21" ht="63.75" thickBot="1" x14ac:dyDescent="0.3">
      <c r="A350" s="53" t="s">
        <v>654</v>
      </c>
      <c r="B350" s="54" t="s">
        <v>655</v>
      </c>
      <c r="C350" s="55"/>
      <c r="D350" s="56">
        <f>SUM(D351:D351)</f>
        <v>2.2000000000000002</v>
      </c>
      <c r="E350" s="56">
        <f>SUM(E351:E351)</f>
        <v>0.8</v>
      </c>
      <c r="F350" s="56">
        <f>SUM(F351:F351)</f>
        <v>1.4</v>
      </c>
      <c r="G350" s="57">
        <f t="shared" si="18"/>
        <v>0.36363636363636365</v>
      </c>
      <c r="H350" s="55"/>
      <c r="I350" s="58"/>
      <c r="J350" s="59"/>
      <c r="K350" s="59"/>
      <c r="L350" s="60"/>
      <c r="M350" s="60"/>
      <c r="N350" s="60"/>
      <c r="O350" s="60"/>
      <c r="P350" s="210"/>
      <c r="Q350" s="211"/>
    </row>
    <row r="351" spans="1:21" ht="63.75" thickBot="1" x14ac:dyDescent="0.3">
      <c r="A351" s="93" t="s">
        <v>656</v>
      </c>
      <c r="B351" s="94" t="s">
        <v>657</v>
      </c>
      <c r="C351" s="61" t="s">
        <v>27</v>
      </c>
      <c r="D351" s="95">
        <v>2.2000000000000002</v>
      </c>
      <c r="E351" s="95">
        <v>0.8</v>
      </c>
      <c r="F351" s="96">
        <v>1.4</v>
      </c>
      <c r="G351" s="79">
        <f t="shared" si="18"/>
        <v>0.36363636363636365</v>
      </c>
      <c r="H351" s="61" t="s">
        <v>658</v>
      </c>
      <c r="I351" s="65" t="s">
        <v>14</v>
      </c>
      <c r="J351" s="66">
        <v>100</v>
      </c>
      <c r="K351" s="148">
        <v>100</v>
      </c>
      <c r="L351" s="68" t="s">
        <v>54</v>
      </c>
      <c r="M351" s="68" t="s">
        <v>15</v>
      </c>
      <c r="N351" s="68" t="s">
        <v>54</v>
      </c>
      <c r="O351" s="68" t="s">
        <v>15</v>
      </c>
      <c r="P351" s="61" t="s">
        <v>659</v>
      </c>
      <c r="Q351" s="69" t="s">
        <v>1656</v>
      </c>
    </row>
    <row r="352" spans="1:21" ht="100.5" customHeight="1" thickBot="1" x14ac:dyDescent="0.3">
      <c r="A352" s="37" t="s">
        <v>660</v>
      </c>
      <c r="B352" s="38" t="s">
        <v>661</v>
      </c>
      <c r="C352" s="39"/>
      <c r="D352" s="40">
        <f>D353+D381+D400</f>
        <v>6876.4</v>
      </c>
      <c r="E352" s="40">
        <f>E353+E381+E400</f>
        <v>6570.4</v>
      </c>
      <c r="F352" s="40">
        <f>F353+F381+F400-0.1</f>
        <v>305.99999999999994</v>
      </c>
      <c r="G352" s="41">
        <f t="shared" si="18"/>
        <v>0.95549997091501371</v>
      </c>
      <c r="H352" s="39"/>
      <c r="I352" s="42"/>
      <c r="J352" s="43"/>
      <c r="K352" s="43"/>
      <c r="L352" s="44"/>
      <c r="M352" s="44"/>
      <c r="N352" s="44"/>
      <c r="O352" s="44"/>
      <c r="P352" s="267"/>
      <c r="Q352" s="268"/>
    </row>
    <row r="353" spans="1:21" ht="187.5" customHeight="1" x14ac:dyDescent="0.25">
      <c r="A353" s="254" t="s">
        <v>662</v>
      </c>
      <c r="B353" s="256" t="s">
        <v>663</v>
      </c>
      <c r="C353" s="258"/>
      <c r="D353" s="260">
        <f>D354+D355+D356+D370+D374</f>
        <v>6282.4</v>
      </c>
      <c r="E353" s="260">
        <f>E354+E355+E356+E370+E374</f>
        <v>6120.8</v>
      </c>
      <c r="F353" s="260">
        <f>F354+F355+F356+F370+F374</f>
        <v>161.60000000000002</v>
      </c>
      <c r="G353" s="273">
        <f t="shared" si="18"/>
        <v>0.97427734623710693</v>
      </c>
      <c r="H353" s="47" t="s">
        <v>664</v>
      </c>
      <c r="I353" s="50" t="s">
        <v>464</v>
      </c>
      <c r="J353" s="51">
        <v>65</v>
      </c>
      <c r="K353" s="149">
        <v>64</v>
      </c>
      <c r="L353" s="52" t="s">
        <v>159</v>
      </c>
      <c r="M353" s="52" t="s">
        <v>15</v>
      </c>
      <c r="N353" s="52" t="s">
        <v>267</v>
      </c>
      <c r="O353" s="52" t="s">
        <v>15</v>
      </c>
      <c r="P353" s="306"/>
      <c r="Q353" s="307"/>
      <c r="S353" s="3"/>
      <c r="T353" s="10" t="s">
        <v>1</v>
      </c>
      <c r="U353" s="10" t="s">
        <v>1551</v>
      </c>
    </row>
    <row r="354" spans="1:21" ht="81.75" customHeight="1" x14ac:dyDescent="0.25">
      <c r="A354" s="269"/>
      <c r="B354" s="270"/>
      <c r="C354" s="271"/>
      <c r="D354" s="272"/>
      <c r="E354" s="272"/>
      <c r="F354" s="272"/>
      <c r="G354" s="274"/>
      <c r="H354" s="105" t="s">
        <v>665</v>
      </c>
      <c r="I354" s="107" t="s">
        <v>14</v>
      </c>
      <c r="J354" s="108">
        <v>26</v>
      </c>
      <c r="K354" s="150">
        <v>25</v>
      </c>
      <c r="L354" s="144" t="s">
        <v>171</v>
      </c>
      <c r="M354" s="144" t="s">
        <v>15</v>
      </c>
      <c r="N354" s="144" t="s">
        <v>227</v>
      </c>
      <c r="O354" s="144" t="s">
        <v>15</v>
      </c>
      <c r="P354" s="308"/>
      <c r="Q354" s="309"/>
      <c r="S354" s="7"/>
      <c r="T354" s="14" t="s">
        <v>1552</v>
      </c>
      <c r="U354" s="11">
        <v>3</v>
      </c>
    </row>
    <row r="355" spans="1:21" ht="63.75" thickBot="1" x14ac:dyDescent="0.3">
      <c r="A355" s="255"/>
      <c r="B355" s="257"/>
      <c r="C355" s="259"/>
      <c r="D355" s="261"/>
      <c r="E355" s="261"/>
      <c r="F355" s="261"/>
      <c r="G355" s="275"/>
      <c r="H355" s="105" t="s">
        <v>666</v>
      </c>
      <c r="I355" s="107" t="s">
        <v>464</v>
      </c>
      <c r="J355" s="151">
        <v>4000</v>
      </c>
      <c r="K355" s="150">
        <v>3927</v>
      </c>
      <c r="L355" s="144" t="s">
        <v>668</v>
      </c>
      <c r="M355" s="144" t="s">
        <v>15</v>
      </c>
      <c r="N355" s="144" t="s">
        <v>669</v>
      </c>
      <c r="O355" s="144" t="s">
        <v>15</v>
      </c>
      <c r="P355" s="310"/>
      <c r="Q355" s="311"/>
      <c r="S355" s="4"/>
      <c r="T355" s="14" t="s">
        <v>1556</v>
      </c>
      <c r="U355" s="11"/>
    </row>
    <row r="356" spans="1:21" ht="63.75" thickBot="1" x14ac:dyDescent="0.3">
      <c r="A356" s="53" t="s">
        <v>670</v>
      </c>
      <c r="B356" s="54" t="s">
        <v>671</v>
      </c>
      <c r="C356" s="55"/>
      <c r="D356" s="56">
        <f>D357+D363+D367</f>
        <v>969.3</v>
      </c>
      <c r="E356" s="56">
        <f>E357+E363+E367</f>
        <v>969</v>
      </c>
      <c r="F356" s="56">
        <f>F357+F363+F367</f>
        <v>0.3</v>
      </c>
      <c r="G356" s="57">
        <f>SUM(E356/D356)</f>
        <v>0.9996904982977407</v>
      </c>
      <c r="H356" s="55"/>
      <c r="I356" s="58"/>
      <c r="J356" s="59"/>
      <c r="K356" s="59"/>
      <c r="L356" s="60"/>
      <c r="M356" s="60"/>
      <c r="N356" s="60"/>
      <c r="O356" s="60"/>
      <c r="P356" s="210"/>
      <c r="Q356" s="211"/>
      <c r="S356" s="6"/>
      <c r="T356" s="14" t="s">
        <v>1557</v>
      </c>
      <c r="U356" s="11">
        <v>7</v>
      </c>
    </row>
    <row r="357" spans="1:21" ht="89.25" customHeight="1" x14ac:dyDescent="0.25">
      <c r="A357" s="280" t="s">
        <v>672</v>
      </c>
      <c r="B357" s="282" t="s">
        <v>673</v>
      </c>
      <c r="C357" s="61"/>
      <c r="D357" s="62">
        <f>SUM(D358:D362)</f>
        <v>110.8</v>
      </c>
      <c r="E357" s="62">
        <f>SUM(E358:E362)</f>
        <v>110.5</v>
      </c>
      <c r="F357" s="63">
        <f>SUM(F358:F362)</f>
        <v>0.3</v>
      </c>
      <c r="G357" s="79">
        <f>SUM(E357/D357)</f>
        <v>0.99729241877256325</v>
      </c>
      <c r="H357" s="61" t="s">
        <v>674</v>
      </c>
      <c r="I357" s="65" t="s">
        <v>464</v>
      </c>
      <c r="J357" s="121">
        <v>41000</v>
      </c>
      <c r="K357" s="152">
        <v>356000</v>
      </c>
      <c r="L357" s="68" t="s">
        <v>675</v>
      </c>
      <c r="M357" s="68" t="s">
        <v>15</v>
      </c>
      <c r="N357" s="68" t="s">
        <v>675</v>
      </c>
      <c r="O357" s="68" t="s">
        <v>15</v>
      </c>
      <c r="P357" s="61" t="s">
        <v>1657</v>
      </c>
      <c r="Q357" s="69" t="s">
        <v>1539</v>
      </c>
      <c r="S357" s="9"/>
      <c r="T357" s="14" t="s">
        <v>1555</v>
      </c>
      <c r="U357" s="19">
        <v>2</v>
      </c>
    </row>
    <row r="358" spans="1:21" ht="63" x14ac:dyDescent="0.25">
      <c r="A358" s="284"/>
      <c r="B358" s="324"/>
      <c r="C358" s="70" t="s">
        <v>27</v>
      </c>
      <c r="D358" s="71">
        <v>110.8</v>
      </c>
      <c r="E358" s="71">
        <v>110.5</v>
      </c>
      <c r="F358" s="72">
        <v>0.3</v>
      </c>
      <c r="G358" s="80">
        <f>SUM(E358/D358)</f>
        <v>0.99729241877256325</v>
      </c>
      <c r="H358" s="70" t="s">
        <v>676</v>
      </c>
      <c r="I358" s="73" t="s">
        <v>464</v>
      </c>
      <c r="J358" s="114">
        <v>2500</v>
      </c>
      <c r="K358" s="153">
        <v>2300</v>
      </c>
      <c r="L358" s="76" t="s">
        <v>678</v>
      </c>
      <c r="M358" s="76" t="s">
        <v>15</v>
      </c>
      <c r="N358" s="76" t="s">
        <v>678</v>
      </c>
      <c r="O358" s="76" t="s">
        <v>15</v>
      </c>
      <c r="P358" s="70" t="s">
        <v>1658</v>
      </c>
      <c r="Q358" s="77" t="s">
        <v>1539</v>
      </c>
      <c r="S358" s="8"/>
      <c r="T358" s="14" t="s">
        <v>1553</v>
      </c>
      <c r="U358" s="13"/>
    </row>
    <row r="359" spans="1:21" ht="63" x14ac:dyDescent="0.25">
      <c r="A359" s="284"/>
      <c r="B359" s="324"/>
      <c r="C359" s="70"/>
      <c r="D359" s="71"/>
      <c r="E359" s="71"/>
      <c r="F359" s="72"/>
      <c r="G359" s="72"/>
      <c r="H359" s="70" t="s">
        <v>679</v>
      </c>
      <c r="I359" s="73" t="s">
        <v>464</v>
      </c>
      <c r="J359" s="74">
        <v>720</v>
      </c>
      <c r="K359" s="153">
        <v>680</v>
      </c>
      <c r="L359" s="76" t="s">
        <v>681</v>
      </c>
      <c r="M359" s="76" t="s">
        <v>15</v>
      </c>
      <c r="N359" s="76" t="s">
        <v>681</v>
      </c>
      <c r="O359" s="76" t="s">
        <v>15</v>
      </c>
      <c r="P359" s="70" t="s">
        <v>1659</v>
      </c>
      <c r="Q359" s="77" t="s">
        <v>1539</v>
      </c>
      <c r="S359" s="16"/>
      <c r="T359" s="17" t="s">
        <v>1554</v>
      </c>
      <c r="U359" s="13">
        <v>12</v>
      </c>
    </row>
    <row r="360" spans="1:21" ht="63" x14ac:dyDescent="0.25">
      <c r="A360" s="284"/>
      <c r="B360" s="324"/>
      <c r="C360" s="70"/>
      <c r="D360" s="71"/>
      <c r="E360" s="71"/>
      <c r="F360" s="72"/>
      <c r="G360" s="72"/>
      <c r="H360" s="70" t="s">
        <v>682</v>
      </c>
      <c r="I360" s="73" t="s">
        <v>464</v>
      </c>
      <c r="J360" s="74">
        <v>140</v>
      </c>
      <c r="K360" s="153">
        <v>124</v>
      </c>
      <c r="L360" s="76" t="s">
        <v>683</v>
      </c>
      <c r="M360" s="76" t="s">
        <v>15</v>
      </c>
      <c r="N360" s="76" t="s">
        <v>683</v>
      </c>
      <c r="O360" s="76" t="s">
        <v>15</v>
      </c>
      <c r="P360" s="70" t="s">
        <v>1658</v>
      </c>
      <c r="Q360" s="77" t="s">
        <v>1539</v>
      </c>
    </row>
    <row r="361" spans="1:21" ht="139.5" customHeight="1" x14ac:dyDescent="0.25">
      <c r="A361" s="284"/>
      <c r="B361" s="324"/>
      <c r="C361" s="70"/>
      <c r="D361" s="71"/>
      <c r="E361" s="71"/>
      <c r="F361" s="72"/>
      <c r="G361" s="72"/>
      <c r="H361" s="70" t="s">
        <v>684</v>
      </c>
      <c r="I361" s="73" t="s">
        <v>464</v>
      </c>
      <c r="J361" s="74">
        <v>62</v>
      </c>
      <c r="K361" s="153">
        <v>52</v>
      </c>
      <c r="L361" s="76" t="s">
        <v>456</v>
      </c>
      <c r="M361" s="76" t="s">
        <v>15</v>
      </c>
      <c r="N361" s="76" t="s">
        <v>456</v>
      </c>
      <c r="O361" s="76" t="s">
        <v>15</v>
      </c>
      <c r="P361" s="70" t="s">
        <v>1659</v>
      </c>
      <c r="Q361" s="77" t="s">
        <v>1539</v>
      </c>
    </row>
    <row r="362" spans="1:21" ht="63.75" thickBot="1" x14ac:dyDescent="0.3">
      <c r="A362" s="281"/>
      <c r="B362" s="283"/>
      <c r="C362" s="70"/>
      <c r="D362" s="71"/>
      <c r="E362" s="71"/>
      <c r="F362" s="72"/>
      <c r="G362" s="72"/>
      <c r="H362" s="70" t="s">
        <v>686</v>
      </c>
      <c r="I362" s="73" t="s">
        <v>464</v>
      </c>
      <c r="J362" s="114">
        <v>1500</v>
      </c>
      <c r="K362" s="153">
        <v>1200</v>
      </c>
      <c r="L362" s="76" t="s">
        <v>688</v>
      </c>
      <c r="M362" s="76" t="s">
        <v>15</v>
      </c>
      <c r="N362" s="76" t="s">
        <v>688</v>
      </c>
      <c r="O362" s="76" t="s">
        <v>15</v>
      </c>
      <c r="P362" s="70" t="s">
        <v>1660</v>
      </c>
      <c r="Q362" s="77" t="s">
        <v>1539</v>
      </c>
    </row>
    <row r="363" spans="1:21" ht="228.75" customHeight="1" x14ac:dyDescent="0.25">
      <c r="A363" s="280" t="s">
        <v>689</v>
      </c>
      <c r="B363" s="282" t="s">
        <v>690</v>
      </c>
      <c r="C363" s="61" t="s">
        <v>27</v>
      </c>
      <c r="D363" s="62">
        <f>SUM(D364:D366)+249.9</f>
        <v>249.9</v>
      </c>
      <c r="E363" s="62">
        <f>SUM(E364:E366)+249.9</f>
        <v>249.9</v>
      </c>
      <c r="F363" s="63"/>
      <c r="G363" s="79">
        <f>SUM(E363/D363)</f>
        <v>1</v>
      </c>
      <c r="H363" s="61" t="s">
        <v>691</v>
      </c>
      <c r="I363" s="65" t="s">
        <v>464</v>
      </c>
      <c r="J363" s="66">
        <v>11</v>
      </c>
      <c r="K363" s="154">
        <v>14</v>
      </c>
      <c r="L363" s="68" t="s">
        <v>135</v>
      </c>
      <c r="M363" s="68" t="s">
        <v>15</v>
      </c>
      <c r="N363" s="68" t="s">
        <v>135</v>
      </c>
      <c r="O363" s="68" t="s">
        <v>15</v>
      </c>
      <c r="P363" s="61" t="s">
        <v>1681</v>
      </c>
      <c r="Q363" s="69"/>
    </row>
    <row r="364" spans="1:21" ht="212.25" customHeight="1" x14ac:dyDescent="0.25">
      <c r="A364" s="284"/>
      <c r="B364" s="324"/>
      <c r="C364" s="70"/>
      <c r="D364" s="71"/>
      <c r="E364" s="71"/>
      <c r="F364" s="72"/>
      <c r="G364" s="72"/>
      <c r="H364" s="70" t="s">
        <v>692</v>
      </c>
      <c r="I364" s="73" t="s">
        <v>464</v>
      </c>
      <c r="J364" s="74">
        <v>8</v>
      </c>
      <c r="K364" s="155">
        <v>10</v>
      </c>
      <c r="L364" s="76" t="s">
        <v>113</v>
      </c>
      <c r="M364" s="76" t="s">
        <v>15</v>
      </c>
      <c r="N364" s="76" t="s">
        <v>113</v>
      </c>
      <c r="O364" s="76" t="s">
        <v>15</v>
      </c>
      <c r="P364" s="70" t="s">
        <v>1682</v>
      </c>
      <c r="Q364" s="77"/>
    </row>
    <row r="365" spans="1:21" ht="126" customHeight="1" x14ac:dyDescent="0.25">
      <c r="A365" s="284"/>
      <c r="B365" s="324"/>
      <c r="C365" s="70"/>
      <c r="D365" s="71"/>
      <c r="E365" s="71"/>
      <c r="F365" s="72"/>
      <c r="G365" s="72"/>
      <c r="H365" s="70" t="s">
        <v>693</v>
      </c>
      <c r="I365" s="73" t="s">
        <v>464</v>
      </c>
      <c r="J365" s="74">
        <v>6</v>
      </c>
      <c r="K365" s="156">
        <v>6</v>
      </c>
      <c r="L365" s="76" t="s">
        <v>109</v>
      </c>
      <c r="M365" s="76" t="s">
        <v>15</v>
      </c>
      <c r="N365" s="76" t="s">
        <v>109</v>
      </c>
      <c r="O365" s="76" t="s">
        <v>15</v>
      </c>
      <c r="P365" s="70" t="s">
        <v>1683</v>
      </c>
      <c r="Q365" s="127"/>
    </row>
    <row r="366" spans="1:21" ht="79.5" customHeight="1" thickBot="1" x14ac:dyDescent="0.3">
      <c r="A366" s="281"/>
      <c r="B366" s="283"/>
      <c r="C366" s="70"/>
      <c r="D366" s="71"/>
      <c r="E366" s="71"/>
      <c r="F366" s="72"/>
      <c r="G366" s="72"/>
      <c r="H366" s="70" t="s">
        <v>694</v>
      </c>
      <c r="I366" s="73" t="s">
        <v>464</v>
      </c>
      <c r="J366" s="74">
        <v>3</v>
      </c>
      <c r="K366" s="157">
        <v>3</v>
      </c>
      <c r="L366" s="76">
        <v>4</v>
      </c>
      <c r="M366" s="76">
        <v>0</v>
      </c>
      <c r="N366" s="76" t="s">
        <v>59</v>
      </c>
      <c r="O366" s="76" t="s">
        <v>15</v>
      </c>
      <c r="P366" s="70" t="s">
        <v>1684</v>
      </c>
      <c r="Q366" s="127"/>
    </row>
    <row r="367" spans="1:21" ht="126" x14ac:dyDescent="0.25">
      <c r="A367" s="280" t="s">
        <v>695</v>
      </c>
      <c r="B367" s="282" t="s">
        <v>696</v>
      </c>
      <c r="C367" s="61" t="s">
        <v>27</v>
      </c>
      <c r="D367" s="62">
        <f>SUM(D368:D369)+608.6</f>
        <v>608.6</v>
      </c>
      <c r="E367" s="62">
        <f>SUM(E368:E369)+608.6</f>
        <v>608.6</v>
      </c>
      <c r="F367" s="63"/>
      <c r="G367" s="79">
        <f>SUM(E367/D367)</f>
        <v>1</v>
      </c>
      <c r="H367" s="61" t="s">
        <v>697</v>
      </c>
      <c r="I367" s="65" t="s">
        <v>464</v>
      </c>
      <c r="J367" s="66">
        <v>6</v>
      </c>
      <c r="K367" s="158">
        <v>7</v>
      </c>
      <c r="L367" s="68" t="s">
        <v>110</v>
      </c>
      <c r="M367" s="68" t="s">
        <v>15</v>
      </c>
      <c r="N367" s="68" t="s">
        <v>110</v>
      </c>
      <c r="O367" s="68" t="s">
        <v>15</v>
      </c>
      <c r="P367" s="61" t="s">
        <v>1661</v>
      </c>
      <c r="Q367" s="69" t="s">
        <v>1797</v>
      </c>
      <c r="R367" s="396"/>
      <c r="S367" s="397"/>
    </row>
    <row r="368" spans="1:21" ht="65.25" customHeight="1" x14ac:dyDescent="0.25">
      <c r="A368" s="284"/>
      <c r="B368" s="324"/>
      <c r="C368" s="70"/>
      <c r="D368" s="71"/>
      <c r="E368" s="71"/>
      <c r="F368" s="72"/>
      <c r="G368" s="72"/>
      <c r="H368" s="70" t="s">
        <v>674</v>
      </c>
      <c r="I368" s="73" t="s">
        <v>464</v>
      </c>
      <c r="J368" s="114">
        <v>3000</v>
      </c>
      <c r="K368" s="153">
        <v>2289</v>
      </c>
      <c r="L368" s="76" t="s">
        <v>698</v>
      </c>
      <c r="M368" s="76" t="s">
        <v>15</v>
      </c>
      <c r="N368" s="76" t="s">
        <v>698</v>
      </c>
      <c r="O368" s="76" t="s">
        <v>15</v>
      </c>
      <c r="P368" s="70" t="s">
        <v>1662</v>
      </c>
      <c r="Q368" s="77" t="s">
        <v>1798</v>
      </c>
    </row>
    <row r="369" spans="1:17" ht="48" customHeight="1" thickBot="1" x14ac:dyDescent="0.3">
      <c r="A369" s="281"/>
      <c r="B369" s="283"/>
      <c r="C369" s="70"/>
      <c r="D369" s="71"/>
      <c r="E369" s="71"/>
      <c r="F369" s="72"/>
      <c r="G369" s="72"/>
      <c r="H369" s="70" t="s">
        <v>699</v>
      </c>
      <c r="I369" s="73" t="s">
        <v>464</v>
      </c>
      <c r="J369" s="114">
        <v>95000</v>
      </c>
      <c r="K369" s="159">
        <v>29565</v>
      </c>
      <c r="L369" s="76" t="s">
        <v>700</v>
      </c>
      <c r="M369" s="76" t="s">
        <v>15</v>
      </c>
      <c r="N369" s="76" t="s">
        <v>700</v>
      </c>
      <c r="O369" s="76" t="s">
        <v>15</v>
      </c>
      <c r="P369" s="70" t="s">
        <v>1663</v>
      </c>
      <c r="Q369" s="77" t="s">
        <v>1798</v>
      </c>
    </row>
    <row r="370" spans="1:17" ht="63.75" thickBot="1" x14ac:dyDescent="0.3">
      <c r="A370" s="53" t="s">
        <v>701</v>
      </c>
      <c r="B370" s="54" t="s">
        <v>665</v>
      </c>
      <c r="C370" s="55"/>
      <c r="D370" s="56">
        <f>SUM(D371:D372)</f>
        <v>44.3</v>
      </c>
      <c r="E370" s="56">
        <f>SUM(E371:E372)</f>
        <v>44.3</v>
      </c>
      <c r="F370" s="56"/>
      <c r="G370" s="57">
        <f>SUM(E370/D370)</f>
        <v>1</v>
      </c>
      <c r="H370" s="55"/>
      <c r="I370" s="58"/>
      <c r="J370" s="59"/>
      <c r="K370" s="59"/>
      <c r="L370" s="60"/>
      <c r="M370" s="60"/>
      <c r="N370" s="60"/>
      <c r="O370" s="60"/>
      <c r="P370" s="210"/>
      <c r="Q370" s="211"/>
    </row>
    <row r="371" spans="1:17" ht="171.75" customHeight="1" thickBot="1" x14ac:dyDescent="0.3">
      <c r="A371" s="93" t="s">
        <v>702</v>
      </c>
      <c r="B371" s="94" t="s">
        <v>703</v>
      </c>
      <c r="C371" s="61" t="s">
        <v>27</v>
      </c>
      <c r="D371" s="95">
        <v>36</v>
      </c>
      <c r="E371" s="95">
        <v>36</v>
      </c>
      <c r="F371" s="96"/>
      <c r="G371" s="79">
        <f>SUM(E371/D371)</f>
        <v>1</v>
      </c>
      <c r="H371" s="61" t="s">
        <v>704</v>
      </c>
      <c r="I371" s="65" t="s">
        <v>464</v>
      </c>
      <c r="J371" s="66">
        <v>10</v>
      </c>
      <c r="K371" s="160">
        <v>10</v>
      </c>
      <c r="L371" s="68" t="s">
        <v>114</v>
      </c>
      <c r="M371" s="68" t="s">
        <v>15</v>
      </c>
      <c r="N371" s="68" t="s">
        <v>114</v>
      </c>
      <c r="O371" s="68" t="s">
        <v>15</v>
      </c>
      <c r="P371" s="61" t="s">
        <v>1664</v>
      </c>
      <c r="Q371" s="69"/>
    </row>
    <row r="372" spans="1:17" ht="153.75" customHeight="1" x14ac:dyDescent="0.25">
      <c r="A372" s="280" t="s">
        <v>705</v>
      </c>
      <c r="B372" s="282" t="s">
        <v>706</v>
      </c>
      <c r="C372" s="61" t="s">
        <v>27</v>
      </c>
      <c r="D372" s="62">
        <f>SUM(D373:D373)+8.3</f>
        <v>8.3000000000000007</v>
      </c>
      <c r="E372" s="62">
        <f>SUM(E373:E373)+8.3</f>
        <v>8.3000000000000007</v>
      </c>
      <c r="F372" s="63"/>
      <c r="G372" s="79">
        <f>SUM(E372/D372)</f>
        <v>1</v>
      </c>
      <c r="H372" s="61" t="s">
        <v>707</v>
      </c>
      <c r="I372" s="65" t="s">
        <v>14</v>
      </c>
      <c r="J372" s="66">
        <v>1.5</v>
      </c>
      <c r="K372" s="161">
        <v>1.5</v>
      </c>
      <c r="L372" s="68" t="s">
        <v>121</v>
      </c>
      <c r="M372" s="68" t="s">
        <v>15</v>
      </c>
      <c r="N372" s="68" t="s">
        <v>121</v>
      </c>
      <c r="O372" s="68" t="s">
        <v>15</v>
      </c>
      <c r="P372" s="61" t="s">
        <v>1665</v>
      </c>
      <c r="Q372" s="69"/>
    </row>
    <row r="373" spans="1:17" ht="57" customHeight="1" thickBot="1" x14ac:dyDescent="0.3">
      <c r="A373" s="281"/>
      <c r="B373" s="283"/>
      <c r="C373" s="70"/>
      <c r="D373" s="71"/>
      <c r="E373" s="71"/>
      <c r="F373" s="72"/>
      <c r="G373" s="72"/>
      <c r="H373" s="70" t="s">
        <v>708</v>
      </c>
      <c r="I373" s="73" t="s">
        <v>14</v>
      </c>
      <c r="J373" s="74">
        <v>10.5</v>
      </c>
      <c r="K373" s="153">
        <v>9.4</v>
      </c>
      <c r="L373" s="76" t="s">
        <v>709</v>
      </c>
      <c r="M373" s="76" t="s">
        <v>15</v>
      </c>
      <c r="N373" s="76" t="s">
        <v>709</v>
      </c>
      <c r="O373" s="76" t="s">
        <v>15</v>
      </c>
      <c r="P373" s="70" t="s">
        <v>1666</v>
      </c>
      <c r="Q373" s="77" t="s">
        <v>1799</v>
      </c>
    </row>
    <row r="374" spans="1:17" ht="63.75" thickBot="1" x14ac:dyDescent="0.3">
      <c r="A374" s="53" t="s">
        <v>710</v>
      </c>
      <c r="B374" s="54" t="s">
        <v>711</v>
      </c>
      <c r="C374" s="55"/>
      <c r="D374" s="56">
        <f>SUM(D375:D375)</f>
        <v>5268.8</v>
      </c>
      <c r="E374" s="56">
        <f>SUM(E375:E375)</f>
        <v>5107.5</v>
      </c>
      <c r="F374" s="56">
        <f>SUM(F375:F375)</f>
        <v>161.30000000000001</v>
      </c>
      <c r="G374" s="57">
        <f t="shared" ref="G374:G381" si="19">SUM(E374/D374)</f>
        <v>0.96938581840267235</v>
      </c>
      <c r="H374" s="55"/>
      <c r="I374" s="58"/>
      <c r="J374" s="59"/>
      <c r="K374" s="59"/>
      <c r="L374" s="60"/>
      <c r="M374" s="60"/>
      <c r="N374" s="60"/>
      <c r="O374" s="60"/>
      <c r="P374" s="210"/>
      <c r="Q374" s="211"/>
    </row>
    <row r="375" spans="1:17" ht="139.5" customHeight="1" x14ac:dyDescent="0.25">
      <c r="A375" s="280" t="s">
        <v>712</v>
      </c>
      <c r="B375" s="282" t="s">
        <v>713</v>
      </c>
      <c r="C375" s="61"/>
      <c r="D375" s="62">
        <f>SUM(D376:D380)</f>
        <v>5268.8</v>
      </c>
      <c r="E375" s="62">
        <f>SUM(E376:E380)</f>
        <v>5107.5</v>
      </c>
      <c r="F375" s="63">
        <f>SUM(F376:F380)</f>
        <v>161.30000000000001</v>
      </c>
      <c r="G375" s="79">
        <f t="shared" si="19"/>
        <v>0.96938581840267235</v>
      </c>
      <c r="H375" s="61" t="s">
        <v>714</v>
      </c>
      <c r="I375" s="65" t="s">
        <v>14</v>
      </c>
      <c r="J375" s="66">
        <v>20.5</v>
      </c>
      <c r="K375" s="162">
        <v>19.399999999999999</v>
      </c>
      <c r="L375" s="68" t="s">
        <v>101</v>
      </c>
      <c r="M375" s="68" t="s">
        <v>15</v>
      </c>
      <c r="N375" s="68" t="s">
        <v>101</v>
      </c>
      <c r="O375" s="68" t="s">
        <v>15</v>
      </c>
      <c r="P375" s="61" t="s">
        <v>1667</v>
      </c>
      <c r="Q375" s="69"/>
    </row>
    <row r="376" spans="1:17" ht="173.25" x14ac:dyDescent="0.25">
      <c r="A376" s="284"/>
      <c r="B376" s="324"/>
      <c r="C376" s="70" t="s">
        <v>169</v>
      </c>
      <c r="D376" s="71">
        <v>398.5</v>
      </c>
      <c r="E376" s="71">
        <v>305.2</v>
      </c>
      <c r="F376" s="72">
        <v>93.3</v>
      </c>
      <c r="G376" s="80">
        <f t="shared" si="19"/>
        <v>0.76587202007528232</v>
      </c>
      <c r="H376" s="70" t="s">
        <v>715</v>
      </c>
      <c r="I376" s="73" t="s">
        <v>14</v>
      </c>
      <c r="J376" s="74">
        <v>9</v>
      </c>
      <c r="K376" s="153">
        <v>8.6999999999999993</v>
      </c>
      <c r="L376" s="76" t="s">
        <v>716</v>
      </c>
      <c r="M376" s="76" t="s">
        <v>15</v>
      </c>
      <c r="N376" s="76" t="s">
        <v>716</v>
      </c>
      <c r="O376" s="76" t="s">
        <v>15</v>
      </c>
      <c r="P376" s="70" t="s">
        <v>1668</v>
      </c>
      <c r="Q376" s="127"/>
    </row>
    <row r="377" spans="1:17" ht="78.75" customHeight="1" x14ac:dyDescent="0.25">
      <c r="A377" s="284"/>
      <c r="B377" s="324"/>
      <c r="C377" s="70" t="s">
        <v>160</v>
      </c>
      <c r="D377" s="71">
        <v>64</v>
      </c>
      <c r="E377" s="71">
        <v>41.8</v>
      </c>
      <c r="F377" s="72">
        <v>22.2</v>
      </c>
      <c r="G377" s="80">
        <f t="shared" si="19"/>
        <v>0.65312499999999996</v>
      </c>
      <c r="H377" s="70" t="s">
        <v>717</v>
      </c>
      <c r="I377" s="73" t="s">
        <v>464</v>
      </c>
      <c r="J377" s="74">
        <v>2</v>
      </c>
      <c r="K377" s="163">
        <v>2</v>
      </c>
      <c r="L377" s="76" t="s">
        <v>42</v>
      </c>
      <c r="M377" s="76" t="s">
        <v>15</v>
      </c>
      <c r="N377" s="76" t="s">
        <v>42</v>
      </c>
      <c r="O377" s="76" t="s">
        <v>15</v>
      </c>
      <c r="P377" s="70" t="s">
        <v>1669</v>
      </c>
      <c r="Q377" s="77"/>
    </row>
    <row r="378" spans="1:17" ht="78.75" x14ac:dyDescent="0.25">
      <c r="A378" s="284"/>
      <c r="B378" s="324"/>
      <c r="C378" s="70" t="s">
        <v>37</v>
      </c>
      <c r="D378" s="71">
        <v>17</v>
      </c>
      <c r="E378" s="71">
        <v>17</v>
      </c>
      <c r="F378" s="72">
        <v>0</v>
      </c>
      <c r="G378" s="80">
        <f t="shared" si="19"/>
        <v>1</v>
      </c>
      <c r="H378" s="70" t="s">
        <v>718</v>
      </c>
      <c r="I378" s="73" t="s">
        <v>464</v>
      </c>
      <c r="J378" s="74">
        <v>8</v>
      </c>
      <c r="K378" s="163">
        <v>8</v>
      </c>
      <c r="L378" s="76" t="s">
        <v>110</v>
      </c>
      <c r="M378" s="76" t="s">
        <v>15</v>
      </c>
      <c r="N378" s="76" t="s">
        <v>110</v>
      </c>
      <c r="O378" s="76" t="s">
        <v>15</v>
      </c>
      <c r="P378" s="70" t="s">
        <v>1670</v>
      </c>
      <c r="Q378" s="77"/>
    </row>
    <row r="379" spans="1:17" ht="107.25" customHeight="1" x14ac:dyDescent="0.25">
      <c r="A379" s="284"/>
      <c r="B379" s="324"/>
      <c r="C379" s="70" t="s">
        <v>165</v>
      </c>
      <c r="D379" s="71">
        <v>125.8</v>
      </c>
      <c r="E379" s="71">
        <v>85.3</v>
      </c>
      <c r="F379" s="72">
        <v>40.5</v>
      </c>
      <c r="G379" s="80">
        <f t="shared" si="19"/>
        <v>0.67806041335453104</v>
      </c>
      <c r="H379" s="70" t="s">
        <v>719</v>
      </c>
      <c r="I379" s="73" t="s">
        <v>464</v>
      </c>
      <c r="J379" s="74">
        <v>1</v>
      </c>
      <c r="K379" s="163">
        <v>1</v>
      </c>
      <c r="L379" s="76" t="s">
        <v>29</v>
      </c>
      <c r="M379" s="76" t="s">
        <v>15</v>
      </c>
      <c r="N379" s="76" t="s">
        <v>29</v>
      </c>
      <c r="O379" s="76" t="s">
        <v>15</v>
      </c>
      <c r="P379" s="70" t="s">
        <v>1671</v>
      </c>
      <c r="Q379" s="77" t="s">
        <v>1800</v>
      </c>
    </row>
    <row r="380" spans="1:17" ht="115.5" customHeight="1" thickBot="1" x14ac:dyDescent="0.3">
      <c r="A380" s="281"/>
      <c r="B380" s="283"/>
      <c r="C380" s="70" t="s">
        <v>27</v>
      </c>
      <c r="D380" s="71">
        <v>4663.5</v>
      </c>
      <c r="E380" s="71">
        <v>4658.2</v>
      </c>
      <c r="F380" s="72">
        <v>5.3</v>
      </c>
      <c r="G380" s="91">
        <f t="shared" si="19"/>
        <v>0.99886351452771516</v>
      </c>
      <c r="H380" s="70" t="s">
        <v>720</v>
      </c>
      <c r="I380" s="73" t="s">
        <v>464</v>
      </c>
      <c r="J380" s="74">
        <v>44</v>
      </c>
      <c r="K380" s="153">
        <v>41</v>
      </c>
      <c r="L380" s="76" t="s">
        <v>721</v>
      </c>
      <c r="M380" s="76" t="s">
        <v>15</v>
      </c>
      <c r="N380" s="76" t="s">
        <v>721</v>
      </c>
      <c r="O380" s="76" t="s">
        <v>15</v>
      </c>
      <c r="P380" s="70" t="s">
        <v>1672</v>
      </c>
      <c r="Q380" s="127"/>
    </row>
    <row r="381" spans="1:17" ht="80.25" customHeight="1" x14ac:dyDescent="0.25">
      <c r="A381" s="254" t="s">
        <v>722</v>
      </c>
      <c r="B381" s="256" t="s">
        <v>723</v>
      </c>
      <c r="C381" s="258"/>
      <c r="D381" s="260">
        <f>D382+D383+D391+D398</f>
        <v>565.5</v>
      </c>
      <c r="E381" s="260">
        <f>E382+E383+E391+E398-0.1</f>
        <v>421.19999999999993</v>
      </c>
      <c r="F381" s="260">
        <f>F382+F383+F391+F398+0.1</f>
        <v>144.29999999999998</v>
      </c>
      <c r="G381" s="273">
        <f t="shared" si="19"/>
        <v>0.74482758620689649</v>
      </c>
      <c r="H381" s="47" t="s">
        <v>724</v>
      </c>
      <c r="I381" s="50" t="s">
        <v>464</v>
      </c>
      <c r="J381" s="51">
        <v>1</v>
      </c>
      <c r="K381" s="149">
        <v>0</v>
      </c>
      <c r="L381" s="52" t="s">
        <v>29</v>
      </c>
      <c r="M381" s="52" t="s">
        <v>15</v>
      </c>
      <c r="N381" s="52" t="s">
        <v>29</v>
      </c>
      <c r="O381" s="52" t="s">
        <v>15</v>
      </c>
      <c r="P381" s="306"/>
      <c r="Q381" s="307"/>
    </row>
    <row r="382" spans="1:17" ht="74.25" customHeight="1" thickBot="1" x14ac:dyDescent="0.3">
      <c r="A382" s="255"/>
      <c r="B382" s="257"/>
      <c r="C382" s="259"/>
      <c r="D382" s="261"/>
      <c r="E382" s="261"/>
      <c r="F382" s="261"/>
      <c r="G382" s="275"/>
      <c r="H382" s="105" t="s">
        <v>725</v>
      </c>
      <c r="I382" s="107" t="s">
        <v>14</v>
      </c>
      <c r="J382" s="108">
        <v>14</v>
      </c>
      <c r="K382" s="150">
        <v>14</v>
      </c>
      <c r="L382" s="144" t="s">
        <v>113</v>
      </c>
      <c r="M382" s="144" t="s">
        <v>15</v>
      </c>
      <c r="N382" s="144" t="s">
        <v>15</v>
      </c>
      <c r="O382" s="144" t="s">
        <v>15</v>
      </c>
      <c r="P382" s="310"/>
      <c r="Q382" s="311"/>
    </row>
    <row r="383" spans="1:17" ht="32.25" thickBot="1" x14ac:dyDescent="0.3">
      <c r="A383" s="53" t="s">
        <v>727</v>
      </c>
      <c r="B383" s="54" t="s">
        <v>724</v>
      </c>
      <c r="C383" s="55"/>
      <c r="D383" s="56">
        <f>D384+D387+D388+D389+D390</f>
        <v>104.7</v>
      </c>
      <c r="E383" s="56">
        <f>E384+E387+E388+E389+E390</f>
        <v>89.6</v>
      </c>
      <c r="F383" s="56">
        <f>F384+F387+F388+F389+F390</f>
        <v>15.1</v>
      </c>
      <c r="G383" s="57">
        <f>SUM(E383/D383)</f>
        <v>0.85577841451766945</v>
      </c>
      <c r="H383" s="55"/>
      <c r="I383" s="58"/>
      <c r="J383" s="59"/>
      <c r="K383" s="59"/>
      <c r="L383" s="60"/>
      <c r="M383" s="60"/>
      <c r="N383" s="60"/>
      <c r="O383" s="60"/>
      <c r="P383" s="210"/>
      <c r="Q383" s="211"/>
    </row>
    <row r="384" spans="1:17" ht="60" customHeight="1" x14ac:dyDescent="0.25">
      <c r="A384" s="280" t="s">
        <v>728</v>
      </c>
      <c r="B384" s="282" t="s">
        <v>729</v>
      </c>
      <c r="C384" s="61"/>
      <c r="D384" s="62">
        <f>SUM(D385:D386)</f>
        <v>104.7</v>
      </c>
      <c r="E384" s="62">
        <f>SUM(E385:E386)</f>
        <v>89.6</v>
      </c>
      <c r="F384" s="63">
        <f>SUM(F385:F386)</f>
        <v>15.1</v>
      </c>
      <c r="G384" s="79">
        <f>SUM(E384/D384)</f>
        <v>0.85577841451766945</v>
      </c>
      <c r="H384" s="61" t="s">
        <v>730</v>
      </c>
      <c r="I384" s="65" t="s">
        <v>14</v>
      </c>
      <c r="J384" s="66">
        <v>50</v>
      </c>
      <c r="K384" s="162">
        <v>30</v>
      </c>
      <c r="L384" s="68" t="s">
        <v>54</v>
      </c>
      <c r="M384" s="68" t="s">
        <v>15</v>
      </c>
      <c r="N384" s="68"/>
      <c r="O384" s="68"/>
      <c r="P384" s="212" t="s">
        <v>1673</v>
      </c>
      <c r="Q384" s="262" t="s">
        <v>1674</v>
      </c>
    </row>
    <row r="385" spans="1:17" ht="30.75" customHeight="1" x14ac:dyDescent="0.25">
      <c r="A385" s="284"/>
      <c r="B385" s="324"/>
      <c r="C385" s="70" t="s">
        <v>27</v>
      </c>
      <c r="D385" s="71">
        <v>86.2</v>
      </c>
      <c r="E385" s="71">
        <v>71.099999999999994</v>
      </c>
      <c r="F385" s="72">
        <v>15.1</v>
      </c>
      <c r="G385" s="80">
        <f>SUM(E385/D385)</f>
        <v>0.82482598607888624</v>
      </c>
      <c r="H385" s="246" t="s">
        <v>731</v>
      </c>
      <c r="I385" s="247" t="s">
        <v>14</v>
      </c>
      <c r="J385" s="340"/>
      <c r="K385" s="340"/>
      <c r="L385" s="76" t="s">
        <v>171</v>
      </c>
      <c r="M385" s="76" t="s">
        <v>15</v>
      </c>
      <c r="N385" s="76" t="s">
        <v>146</v>
      </c>
      <c r="O385" s="76" t="s">
        <v>15</v>
      </c>
      <c r="P385" s="213"/>
      <c r="Q385" s="264"/>
    </row>
    <row r="386" spans="1:17" ht="30.75" customHeight="1" thickBot="1" x14ac:dyDescent="0.3">
      <c r="A386" s="281"/>
      <c r="B386" s="283"/>
      <c r="C386" s="70" t="s">
        <v>37</v>
      </c>
      <c r="D386" s="71">
        <v>18.5</v>
      </c>
      <c r="E386" s="71">
        <v>18.5</v>
      </c>
      <c r="F386" s="72"/>
      <c r="G386" s="91">
        <f>SUM(E386/D386)</f>
        <v>1</v>
      </c>
      <c r="H386" s="214"/>
      <c r="I386" s="217"/>
      <c r="J386" s="341"/>
      <c r="K386" s="341"/>
      <c r="L386" s="76"/>
      <c r="M386" s="76"/>
      <c r="N386" s="76"/>
      <c r="O386" s="76"/>
      <c r="P386" s="214"/>
      <c r="Q386" s="263"/>
    </row>
    <row r="387" spans="1:17" ht="79.5" hidden="1" thickBot="1" x14ac:dyDescent="0.3">
      <c r="A387" s="93" t="s">
        <v>732</v>
      </c>
      <c r="B387" s="94" t="s">
        <v>733</v>
      </c>
      <c r="C387" s="61"/>
      <c r="D387" s="95"/>
      <c r="E387" s="95"/>
      <c r="F387" s="96"/>
      <c r="G387" s="96"/>
      <c r="H387" s="61" t="s">
        <v>734</v>
      </c>
      <c r="I387" s="65" t="s">
        <v>14</v>
      </c>
      <c r="J387" s="98"/>
      <c r="K387" s="98"/>
      <c r="L387" s="68"/>
      <c r="M387" s="68"/>
      <c r="N387" s="68" t="s">
        <v>146</v>
      </c>
      <c r="O387" s="68" t="s">
        <v>15</v>
      </c>
      <c r="P387" s="61"/>
      <c r="Q387" s="69"/>
    </row>
    <row r="388" spans="1:17" ht="32.25" hidden="1" thickBot="1" x14ac:dyDescent="0.3">
      <c r="A388" s="93" t="s">
        <v>735</v>
      </c>
      <c r="B388" s="94" t="s">
        <v>736</v>
      </c>
      <c r="C388" s="61"/>
      <c r="D388" s="95"/>
      <c r="E388" s="95"/>
      <c r="F388" s="96"/>
      <c r="G388" s="96"/>
      <c r="H388" s="61"/>
      <c r="I388" s="65"/>
      <c r="J388" s="98"/>
      <c r="K388" s="98"/>
      <c r="L388" s="68"/>
      <c r="M388" s="68"/>
      <c r="N388" s="68"/>
      <c r="O388" s="68"/>
      <c r="P388" s="61"/>
      <c r="Q388" s="69"/>
    </row>
    <row r="389" spans="1:17" ht="63.75" hidden="1" thickBot="1" x14ac:dyDescent="0.3">
      <c r="A389" s="93" t="s">
        <v>737</v>
      </c>
      <c r="B389" s="94" t="s">
        <v>738</v>
      </c>
      <c r="C389" s="61" t="s">
        <v>27</v>
      </c>
      <c r="D389" s="95"/>
      <c r="E389" s="95"/>
      <c r="F389" s="96"/>
      <c r="G389" s="96"/>
      <c r="H389" s="61" t="s">
        <v>730</v>
      </c>
      <c r="I389" s="65" t="s">
        <v>19</v>
      </c>
      <c r="J389" s="98"/>
      <c r="K389" s="98"/>
      <c r="L389" s="68"/>
      <c r="M389" s="68"/>
      <c r="N389" s="68" t="s">
        <v>29</v>
      </c>
      <c r="O389" s="68" t="s">
        <v>15</v>
      </c>
      <c r="P389" s="61"/>
      <c r="Q389" s="69"/>
    </row>
    <row r="390" spans="1:17" ht="0.75" customHeight="1" thickBot="1" x14ac:dyDescent="0.3">
      <c r="A390" s="93" t="s">
        <v>739</v>
      </c>
      <c r="B390" s="94" t="s">
        <v>740</v>
      </c>
      <c r="C390" s="61"/>
      <c r="D390" s="95"/>
      <c r="E390" s="95"/>
      <c r="F390" s="96"/>
      <c r="G390" s="96"/>
      <c r="H390" s="61" t="s">
        <v>741</v>
      </c>
      <c r="I390" s="65" t="s">
        <v>464</v>
      </c>
      <c r="J390" s="66">
        <v>1</v>
      </c>
      <c r="K390" s="164">
        <v>0</v>
      </c>
      <c r="L390" s="68" t="s">
        <v>29</v>
      </c>
      <c r="M390" s="68" t="s">
        <v>15</v>
      </c>
      <c r="N390" s="68"/>
      <c r="O390" s="68"/>
      <c r="P390" s="61" t="s">
        <v>1540</v>
      </c>
      <c r="Q390" s="69"/>
    </row>
    <row r="391" spans="1:17" ht="63.75" thickBot="1" x14ac:dyDescent="0.3">
      <c r="A391" s="53" t="s">
        <v>742</v>
      </c>
      <c r="B391" s="54" t="s">
        <v>725</v>
      </c>
      <c r="C391" s="55"/>
      <c r="D391" s="56">
        <f>D392+D394+D396</f>
        <v>460.79999999999995</v>
      </c>
      <c r="E391" s="56">
        <f>E392+E394+E396+0.1</f>
        <v>331.7</v>
      </c>
      <c r="F391" s="56">
        <f>F392+F394+F396-0.1</f>
        <v>129.1</v>
      </c>
      <c r="G391" s="57">
        <f t="shared" ref="G391:G397" si="20">SUM(E391/D391)</f>
        <v>0.71983506944444453</v>
      </c>
      <c r="H391" s="55"/>
      <c r="I391" s="58"/>
      <c r="J391" s="59"/>
      <c r="K391" s="59"/>
      <c r="L391" s="60"/>
      <c r="M391" s="60"/>
      <c r="N391" s="60"/>
      <c r="O391" s="60"/>
      <c r="P391" s="210"/>
      <c r="Q391" s="211"/>
    </row>
    <row r="392" spans="1:17" ht="45" customHeight="1" x14ac:dyDescent="0.25">
      <c r="A392" s="280" t="s">
        <v>743</v>
      </c>
      <c r="B392" s="282" t="s">
        <v>744</v>
      </c>
      <c r="C392" s="61"/>
      <c r="D392" s="62">
        <f>SUM(D393:D393)</f>
        <v>352.7</v>
      </c>
      <c r="E392" s="62">
        <f>SUM(E393:E393)</f>
        <v>223.7</v>
      </c>
      <c r="F392" s="63">
        <f>SUM(F393:F393)</f>
        <v>129</v>
      </c>
      <c r="G392" s="79">
        <f t="shared" si="20"/>
        <v>0.63425007088176921</v>
      </c>
      <c r="H392" s="61" t="s">
        <v>731</v>
      </c>
      <c r="I392" s="65" t="s">
        <v>14</v>
      </c>
      <c r="J392" s="66">
        <v>100</v>
      </c>
      <c r="K392" s="165">
        <v>90</v>
      </c>
      <c r="L392" s="68"/>
      <c r="M392" s="68"/>
      <c r="N392" s="68"/>
      <c r="O392" s="68"/>
      <c r="P392" s="212" t="s">
        <v>745</v>
      </c>
      <c r="Q392" s="262" t="s">
        <v>1801</v>
      </c>
    </row>
    <row r="393" spans="1:17" ht="16.5" thickBot="1" x14ac:dyDescent="0.3">
      <c r="A393" s="281"/>
      <c r="B393" s="283"/>
      <c r="C393" s="70" t="s">
        <v>27</v>
      </c>
      <c r="D393" s="71">
        <v>352.7</v>
      </c>
      <c r="E393" s="71">
        <v>223.7</v>
      </c>
      <c r="F393" s="72">
        <v>129</v>
      </c>
      <c r="G393" s="125">
        <f t="shared" si="20"/>
        <v>0.63425007088176921</v>
      </c>
      <c r="H393" s="70"/>
      <c r="I393" s="73"/>
      <c r="J393" s="78"/>
      <c r="K393" s="78"/>
      <c r="L393" s="76"/>
      <c r="M393" s="76"/>
      <c r="N393" s="76"/>
      <c r="O393" s="76"/>
      <c r="P393" s="214"/>
      <c r="Q393" s="263"/>
    </row>
    <row r="394" spans="1:17" ht="124.5" customHeight="1" x14ac:dyDescent="0.25">
      <c r="A394" s="280" t="s">
        <v>746</v>
      </c>
      <c r="B394" s="282" t="s">
        <v>747</v>
      </c>
      <c r="C394" s="61"/>
      <c r="D394" s="62">
        <f>SUM(D395:D395)</f>
        <v>79.599999999999994</v>
      </c>
      <c r="E394" s="62">
        <f>SUM(E395:E395)</f>
        <v>79.5</v>
      </c>
      <c r="F394" s="63">
        <f>SUM(F395:F395)</f>
        <v>0.1</v>
      </c>
      <c r="G394" s="79">
        <f t="shared" si="20"/>
        <v>0.99874371859296485</v>
      </c>
      <c r="H394" s="212" t="s">
        <v>748</v>
      </c>
      <c r="I394" s="215" t="s">
        <v>14</v>
      </c>
      <c r="J394" s="218">
        <v>100</v>
      </c>
      <c r="K394" s="336">
        <v>100</v>
      </c>
      <c r="L394" s="68" t="s">
        <v>15</v>
      </c>
      <c r="M394" s="68" t="s">
        <v>15</v>
      </c>
      <c r="N394" s="68" t="s">
        <v>15</v>
      </c>
      <c r="O394" s="68" t="s">
        <v>15</v>
      </c>
      <c r="P394" s="212" t="s">
        <v>749</v>
      </c>
      <c r="Q394" s="262" t="s">
        <v>1675</v>
      </c>
    </row>
    <row r="395" spans="1:17" ht="53.25" customHeight="1" thickBot="1" x14ac:dyDescent="0.3">
      <c r="A395" s="281"/>
      <c r="B395" s="283"/>
      <c r="C395" s="70" t="s">
        <v>37</v>
      </c>
      <c r="D395" s="71">
        <v>79.599999999999994</v>
      </c>
      <c r="E395" s="71">
        <v>79.5</v>
      </c>
      <c r="F395" s="72">
        <v>0.1</v>
      </c>
      <c r="G395" s="125">
        <f t="shared" si="20"/>
        <v>0.99874371859296485</v>
      </c>
      <c r="H395" s="214"/>
      <c r="I395" s="217"/>
      <c r="J395" s="220"/>
      <c r="K395" s="337"/>
      <c r="L395" s="76"/>
      <c r="M395" s="76"/>
      <c r="N395" s="76"/>
      <c r="O395" s="76"/>
      <c r="P395" s="214"/>
      <c r="Q395" s="263"/>
    </row>
    <row r="396" spans="1:17" ht="81.75" customHeight="1" x14ac:dyDescent="0.25">
      <c r="A396" s="280" t="s">
        <v>750</v>
      </c>
      <c r="B396" s="282" t="s">
        <v>751</v>
      </c>
      <c r="C396" s="61"/>
      <c r="D396" s="62">
        <f>SUM(D397:D397)</f>
        <v>28.5</v>
      </c>
      <c r="E396" s="62">
        <f>SUM(E397:E397)</f>
        <v>28.4</v>
      </c>
      <c r="F396" s="63">
        <f>SUM(F397:F397)</f>
        <v>0.1</v>
      </c>
      <c r="G396" s="79">
        <f t="shared" si="20"/>
        <v>0.99649122807017543</v>
      </c>
      <c r="H396" s="212" t="s">
        <v>752</v>
      </c>
      <c r="I396" s="215" t="s">
        <v>19</v>
      </c>
      <c r="J396" s="218">
        <v>1</v>
      </c>
      <c r="K396" s="338">
        <v>1</v>
      </c>
      <c r="L396" s="68"/>
      <c r="M396" s="68"/>
      <c r="N396" s="68"/>
      <c r="O396" s="68"/>
      <c r="P396" s="265" t="s">
        <v>753</v>
      </c>
      <c r="Q396" s="262" t="s">
        <v>1676</v>
      </c>
    </row>
    <row r="397" spans="1:17" ht="41.25" customHeight="1" thickBot="1" x14ac:dyDescent="0.3">
      <c r="A397" s="281"/>
      <c r="B397" s="283"/>
      <c r="C397" s="70" t="s">
        <v>27</v>
      </c>
      <c r="D397" s="71">
        <v>28.5</v>
      </c>
      <c r="E397" s="71">
        <v>28.4</v>
      </c>
      <c r="F397" s="72">
        <v>0.1</v>
      </c>
      <c r="G397" s="125">
        <f t="shared" si="20"/>
        <v>0.99649122807017543</v>
      </c>
      <c r="H397" s="214"/>
      <c r="I397" s="217"/>
      <c r="J397" s="220"/>
      <c r="K397" s="339"/>
      <c r="L397" s="76"/>
      <c r="M397" s="76"/>
      <c r="N397" s="76"/>
      <c r="O397" s="76"/>
      <c r="P397" s="266"/>
      <c r="Q397" s="263"/>
    </row>
    <row r="398" spans="1:17" ht="16.5" hidden="1" customHeight="1" thickBot="1" x14ac:dyDescent="0.3">
      <c r="A398" s="53" t="s">
        <v>754</v>
      </c>
      <c r="B398" s="54" t="s">
        <v>755</v>
      </c>
      <c r="C398" s="55"/>
      <c r="D398" s="56"/>
      <c r="E398" s="56"/>
      <c r="F398" s="56"/>
      <c r="G398" s="57"/>
      <c r="H398" s="55"/>
      <c r="I398" s="58"/>
      <c r="J398" s="59"/>
      <c r="K398" s="59"/>
      <c r="L398" s="60"/>
      <c r="M398" s="60"/>
      <c r="N398" s="60"/>
      <c r="O398" s="60"/>
      <c r="P398" s="55"/>
      <c r="Q398" s="119"/>
    </row>
    <row r="399" spans="1:17" ht="63.75" hidden="1" thickBot="1" x14ac:dyDescent="0.3">
      <c r="A399" s="93" t="s">
        <v>756</v>
      </c>
      <c r="B399" s="94" t="s">
        <v>757</v>
      </c>
      <c r="C399" s="61"/>
      <c r="D399" s="95"/>
      <c r="E399" s="95"/>
      <c r="F399" s="96"/>
      <c r="G399" s="96"/>
      <c r="H399" s="61"/>
      <c r="I399" s="65"/>
      <c r="J399" s="98"/>
      <c r="K399" s="98"/>
      <c r="L399" s="68"/>
      <c r="M399" s="68"/>
      <c r="N399" s="68"/>
      <c r="O399" s="68"/>
      <c r="P399" s="61"/>
      <c r="Q399" s="69"/>
    </row>
    <row r="400" spans="1:17" ht="165" customHeight="1" x14ac:dyDescent="0.25">
      <c r="A400" s="254" t="s">
        <v>758</v>
      </c>
      <c r="B400" s="256" t="s">
        <v>759</v>
      </c>
      <c r="C400" s="258"/>
      <c r="D400" s="260">
        <f>D401+D402+D404</f>
        <v>28.5</v>
      </c>
      <c r="E400" s="260">
        <f>E401+E402+E404+0.1</f>
        <v>28.400000000000002</v>
      </c>
      <c r="F400" s="260">
        <f>F401+F402+F404</f>
        <v>0.2</v>
      </c>
      <c r="G400" s="273">
        <f>SUM(E400/D400)</f>
        <v>0.99649122807017554</v>
      </c>
      <c r="H400" s="47" t="s">
        <v>760</v>
      </c>
      <c r="I400" s="50" t="s">
        <v>14</v>
      </c>
      <c r="J400" s="51">
        <v>18</v>
      </c>
      <c r="K400" s="149">
        <v>18.600000000000001</v>
      </c>
      <c r="L400" s="52" t="s">
        <v>152</v>
      </c>
      <c r="M400" s="52" t="s">
        <v>15</v>
      </c>
      <c r="N400" s="52" t="s">
        <v>130</v>
      </c>
      <c r="O400" s="52" t="s">
        <v>15</v>
      </c>
      <c r="P400" s="306"/>
      <c r="Q400" s="307"/>
    </row>
    <row r="401" spans="1:21" ht="142.5" thickBot="1" x14ac:dyDescent="0.3">
      <c r="A401" s="255"/>
      <c r="B401" s="257"/>
      <c r="C401" s="259"/>
      <c r="D401" s="261"/>
      <c r="E401" s="261"/>
      <c r="F401" s="261"/>
      <c r="G401" s="275"/>
      <c r="H401" s="105" t="s">
        <v>762</v>
      </c>
      <c r="I401" s="107" t="s">
        <v>14</v>
      </c>
      <c r="J401" s="108">
        <v>12</v>
      </c>
      <c r="K401" s="150">
        <v>8.8000000000000007</v>
      </c>
      <c r="L401" s="144" t="s">
        <v>566</v>
      </c>
      <c r="M401" s="144" t="s">
        <v>15</v>
      </c>
      <c r="N401" s="144" t="s">
        <v>152</v>
      </c>
      <c r="O401" s="144" t="s">
        <v>15</v>
      </c>
      <c r="P401" s="310"/>
      <c r="Q401" s="311"/>
    </row>
    <row r="402" spans="1:21" ht="130.5" customHeight="1" thickBot="1" x14ac:dyDescent="0.3">
      <c r="A402" s="53" t="s">
        <v>763</v>
      </c>
      <c r="B402" s="54" t="s">
        <v>760</v>
      </c>
      <c r="C402" s="55"/>
      <c r="D402" s="56">
        <f>SUM(D403:D403)</f>
        <v>13.3</v>
      </c>
      <c r="E402" s="56">
        <f>SUM(E403:E403)</f>
        <v>13.3</v>
      </c>
      <c r="F402" s="56"/>
      <c r="G402" s="57">
        <f t="shared" ref="G402:G407" si="21">SUM(E402/D402)</f>
        <v>1</v>
      </c>
      <c r="H402" s="55"/>
      <c r="I402" s="58"/>
      <c r="J402" s="59"/>
      <c r="K402" s="59"/>
      <c r="L402" s="60"/>
      <c r="M402" s="60"/>
      <c r="N402" s="60"/>
      <c r="O402" s="60"/>
      <c r="P402" s="210"/>
      <c r="Q402" s="211"/>
    </row>
    <row r="403" spans="1:21" ht="95.25" thickBot="1" x14ac:dyDescent="0.3">
      <c r="A403" s="93" t="s">
        <v>764</v>
      </c>
      <c r="B403" s="94" t="s">
        <v>765</v>
      </c>
      <c r="C403" s="61" t="s">
        <v>27</v>
      </c>
      <c r="D403" s="95">
        <v>13.3</v>
      </c>
      <c r="E403" s="95">
        <v>13.3</v>
      </c>
      <c r="F403" s="96"/>
      <c r="G403" s="79">
        <f t="shared" si="21"/>
        <v>1</v>
      </c>
      <c r="H403" s="61" t="s">
        <v>766</v>
      </c>
      <c r="I403" s="65" t="s">
        <v>14</v>
      </c>
      <c r="J403" s="66">
        <v>18</v>
      </c>
      <c r="K403" s="158">
        <v>18.600000000000001</v>
      </c>
      <c r="L403" s="68" t="s">
        <v>761</v>
      </c>
      <c r="M403" s="68" t="s">
        <v>15</v>
      </c>
      <c r="N403" s="68" t="s">
        <v>761</v>
      </c>
      <c r="O403" s="68" t="s">
        <v>15</v>
      </c>
      <c r="P403" s="61" t="s">
        <v>1677</v>
      </c>
      <c r="Q403" s="69"/>
    </row>
    <row r="404" spans="1:21" ht="142.5" thickBot="1" x14ac:dyDescent="0.3">
      <c r="A404" s="53" t="s">
        <v>767</v>
      </c>
      <c r="B404" s="54" t="s">
        <v>762</v>
      </c>
      <c r="C404" s="55"/>
      <c r="D404" s="56">
        <f>SUM(D405:D405)</f>
        <v>15.2</v>
      </c>
      <c r="E404" s="56">
        <f>SUM(E405:E405)</f>
        <v>15</v>
      </c>
      <c r="F404" s="56">
        <f>SUM(F405:F405)</f>
        <v>0.2</v>
      </c>
      <c r="G404" s="57">
        <f t="shared" si="21"/>
        <v>0.98684210526315796</v>
      </c>
      <c r="H404" s="55"/>
      <c r="I404" s="58"/>
      <c r="J404" s="59"/>
      <c r="K404" s="59"/>
      <c r="L404" s="60"/>
      <c r="M404" s="60"/>
      <c r="N404" s="60"/>
      <c r="O404" s="60"/>
      <c r="P404" s="210"/>
      <c r="Q404" s="211"/>
    </row>
    <row r="405" spans="1:21" ht="119.25" customHeight="1" thickBot="1" x14ac:dyDescent="0.3">
      <c r="A405" s="93" t="s">
        <v>768</v>
      </c>
      <c r="B405" s="94" t="s">
        <v>769</v>
      </c>
      <c r="C405" s="61" t="s">
        <v>27</v>
      </c>
      <c r="D405" s="95">
        <v>15.2</v>
      </c>
      <c r="E405" s="95">
        <v>15</v>
      </c>
      <c r="F405" s="96">
        <v>0.2</v>
      </c>
      <c r="G405" s="79">
        <f t="shared" si="21"/>
        <v>0.98684210526315796</v>
      </c>
      <c r="H405" s="61" t="s">
        <v>770</v>
      </c>
      <c r="I405" s="65" t="s">
        <v>14</v>
      </c>
      <c r="J405" s="66">
        <v>11.5</v>
      </c>
      <c r="K405" s="165">
        <v>8.8000000000000007</v>
      </c>
      <c r="L405" s="68" t="s">
        <v>149</v>
      </c>
      <c r="M405" s="68" t="s">
        <v>15</v>
      </c>
      <c r="N405" s="68" t="s">
        <v>149</v>
      </c>
      <c r="O405" s="68" t="s">
        <v>15</v>
      </c>
      <c r="P405" s="61" t="s">
        <v>1678</v>
      </c>
      <c r="Q405" s="69" t="s">
        <v>1802</v>
      </c>
    </row>
    <row r="406" spans="1:21" ht="87" customHeight="1" thickBot="1" x14ac:dyDescent="0.3">
      <c r="A406" s="37" t="s">
        <v>771</v>
      </c>
      <c r="B406" s="38" t="s">
        <v>772</v>
      </c>
      <c r="C406" s="39"/>
      <c r="D406" s="40">
        <f>D407+D438+D468+D480+D494+0.1</f>
        <v>78614.700000000012</v>
      </c>
      <c r="E406" s="40">
        <f>E407+E438+E468+E480+E494</f>
        <v>74493.099999999977</v>
      </c>
      <c r="F406" s="40">
        <f>F407+F438+F468+F480+F494</f>
        <v>4121.5</v>
      </c>
      <c r="G406" s="41">
        <f t="shared" si="21"/>
        <v>0.94757214617622365</v>
      </c>
      <c r="H406" s="39"/>
      <c r="I406" s="42"/>
      <c r="J406" s="43"/>
      <c r="K406" s="43"/>
      <c r="L406" s="44"/>
      <c r="M406" s="44"/>
      <c r="N406" s="44"/>
      <c r="O406" s="44"/>
      <c r="P406" s="267"/>
      <c r="Q406" s="268"/>
    </row>
    <row r="407" spans="1:21" ht="63" x14ac:dyDescent="0.25">
      <c r="A407" s="254" t="s">
        <v>773</v>
      </c>
      <c r="B407" s="256" t="s">
        <v>774</v>
      </c>
      <c r="C407" s="258"/>
      <c r="D407" s="260">
        <f>D408+D409+D420</f>
        <v>869.9</v>
      </c>
      <c r="E407" s="260">
        <f>E408+E409+E420-0.1</f>
        <v>818.09999999999991</v>
      </c>
      <c r="F407" s="260">
        <f>F408+F409+F420+0.1</f>
        <v>51.8</v>
      </c>
      <c r="G407" s="273">
        <f t="shared" si="21"/>
        <v>0.94045292562363481</v>
      </c>
      <c r="H407" s="47" t="s">
        <v>775</v>
      </c>
      <c r="I407" s="50" t="s">
        <v>14</v>
      </c>
      <c r="J407" s="51">
        <v>32</v>
      </c>
      <c r="K407" s="51">
        <v>32</v>
      </c>
      <c r="L407" s="52" t="s">
        <v>776</v>
      </c>
      <c r="M407" s="52" t="s">
        <v>15</v>
      </c>
      <c r="N407" s="52" t="s">
        <v>776</v>
      </c>
      <c r="O407" s="52" t="s">
        <v>15</v>
      </c>
      <c r="P407" s="306"/>
      <c r="Q407" s="307"/>
      <c r="S407" s="3"/>
      <c r="T407" s="10" t="s">
        <v>1</v>
      </c>
      <c r="U407" s="10" t="s">
        <v>1551</v>
      </c>
    </row>
    <row r="408" spans="1:21" ht="63.75" thickBot="1" x14ac:dyDescent="0.3">
      <c r="A408" s="255"/>
      <c r="B408" s="257"/>
      <c r="C408" s="259"/>
      <c r="D408" s="261"/>
      <c r="E408" s="261"/>
      <c r="F408" s="261"/>
      <c r="G408" s="275"/>
      <c r="H408" s="105" t="s">
        <v>777</v>
      </c>
      <c r="I408" s="107" t="s">
        <v>464</v>
      </c>
      <c r="J408" s="108">
        <v>2</v>
      </c>
      <c r="K408" s="108">
        <v>2</v>
      </c>
      <c r="L408" s="144" t="s">
        <v>42</v>
      </c>
      <c r="M408" s="144" t="s">
        <v>15</v>
      </c>
      <c r="N408" s="144" t="s">
        <v>42</v>
      </c>
      <c r="O408" s="144" t="s">
        <v>15</v>
      </c>
      <c r="P408" s="310"/>
      <c r="Q408" s="311"/>
      <c r="S408" s="7"/>
      <c r="T408" s="14" t="s">
        <v>1552</v>
      </c>
      <c r="U408" s="11">
        <v>13</v>
      </c>
    </row>
    <row r="409" spans="1:21" ht="63.75" thickBot="1" x14ac:dyDescent="0.3">
      <c r="A409" s="53" t="s">
        <v>778</v>
      </c>
      <c r="B409" s="54" t="s">
        <v>779</v>
      </c>
      <c r="C409" s="55"/>
      <c r="D409" s="56">
        <f>D410+D417</f>
        <v>403.3</v>
      </c>
      <c r="E409" s="56">
        <f>E410+E417</f>
        <v>389.4</v>
      </c>
      <c r="F409" s="56">
        <f>F410+F417</f>
        <v>13.9</v>
      </c>
      <c r="G409" s="57">
        <f>SUM(E409/D409)</f>
        <v>0.96553434168113061</v>
      </c>
      <c r="H409" s="55"/>
      <c r="I409" s="58"/>
      <c r="J409" s="59"/>
      <c r="K409" s="59"/>
      <c r="L409" s="60"/>
      <c r="M409" s="60"/>
      <c r="N409" s="60"/>
      <c r="O409" s="60"/>
      <c r="P409" s="210"/>
      <c r="Q409" s="211"/>
      <c r="S409" s="4"/>
      <c r="T409" s="14" t="s">
        <v>1556</v>
      </c>
      <c r="U409" s="11">
        <v>2</v>
      </c>
    </row>
    <row r="410" spans="1:21" ht="63" x14ac:dyDescent="0.25">
      <c r="A410" s="280" t="s">
        <v>780</v>
      </c>
      <c r="B410" s="282" t="s">
        <v>781</v>
      </c>
      <c r="C410" s="61"/>
      <c r="D410" s="62">
        <f>SUM(D411:D416)</f>
        <v>138.80000000000001</v>
      </c>
      <c r="E410" s="62">
        <f>SUM(E411:E416)</f>
        <v>138</v>
      </c>
      <c r="F410" s="63">
        <f>SUM(F411:F416)</f>
        <v>0.8</v>
      </c>
      <c r="G410" s="79">
        <f>SUM(E410/D410)</f>
        <v>0.99423631123919298</v>
      </c>
      <c r="H410" s="61" t="s">
        <v>782</v>
      </c>
      <c r="I410" s="65" t="s">
        <v>464</v>
      </c>
      <c r="J410" s="66">
        <v>8</v>
      </c>
      <c r="K410" s="89">
        <v>8</v>
      </c>
      <c r="L410" s="68" t="s">
        <v>110</v>
      </c>
      <c r="M410" s="68" t="s">
        <v>15</v>
      </c>
      <c r="N410" s="68" t="s">
        <v>110</v>
      </c>
      <c r="O410" s="68" t="s">
        <v>15</v>
      </c>
      <c r="P410" s="61" t="s">
        <v>783</v>
      </c>
      <c r="Q410" s="69"/>
      <c r="S410" s="6"/>
      <c r="T410" s="14" t="s">
        <v>1557</v>
      </c>
      <c r="U410" s="11">
        <v>3</v>
      </c>
    </row>
    <row r="411" spans="1:21" ht="63" x14ac:dyDescent="0.25">
      <c r="A411" s="284"/>
      <c r="B411" s="324"/>
      <c r="C411" s="70" t="s">
        <v>27</v>
      </c>
      <c r="D411" s="71">
        <v>138.80000000000001</v>
      </c>
      <c r="E411" s="71">
        <v>138</v>
      </c>
      <c r="F411" s="72">
        <v>0.8</v>
      </c>
      <c r="G411" s="80">
        <f>SUM(E411/D411)</f>
        <v>0.99423631123919298</v>
      </c>
      <c r="H411" s="70" t="s">
        <v>784</v>
      </c>
      <c r="I411" s="73" t="s">
        <v>464</v>
      </c>
      <c r="J411" s="166">
        <v>1300</v>
      </c>
      <c r="K411" s="167">
        <v>852</v>
      </c>
      <c r="L411" s="76" t="s">
        <v>785</v>
      </c>
      <c r="M411" s="76" t="s">
        <v>15</v>
      </c>
      <c r="N411" s="76" t="s">
        <v>785</v>
      </c>
      <c r="O411" s="76" t="s">
        <v>15</v>
      </c>
      <c r="P411" s="70" t="s">
        <v>1685</v>
      </c>
      <c r="Q411" s="124" t="s">
        <v>1575</v>
      </c>
      <c r="S411" s="9"/>
      <c r="T411" s="14" t="s">
        <v>1555</v>
      </c>
      <c r="U411" s="19">
        <v>2</v>
      </c>
    </row>
    <row r="412" spans="1:21" ht="63" x14ac:dyDescent="0.25">
      <c r="A412" s="284"/>
      <c r="B412" s="324"/>
      <c r="C412" s="70"/>
      <c r="D412" s="71"/>
      <c r="E412" s="71"/>
      <c r="F412" s="72"/>
      <c r="G412" s="72"/>
      <c r="H412" s="70" t="s">
        <v>786</v>
      </c>
      <c r="I412" s="73" t="s">
        <v>464</v>
      </c>
      <c r="J412" s="166">
        <v>10</v>
      </c>
      <c r="K412" s="168">
        <v>10</v>
      </c>
      <c r="L412" s="76" t="s">
        <v>114</v>
      </c>
      <c r="M412" s="76" t="s">
        <v>15</v>
      </c>
      <c r="N412" s="76" t="s">
        <v>114</v>
      </c>
      <c r="O412" s="76" t="s">
        <v>15</v>
      </c>
      <c r="P412" s="70" t="s">
        <v>787</v>
      </c>
      <c r="Q412" s="77"/>
      <c r="S412" s="8"/>
      <c r="T412" s="14" t="s">
        <v>1553</v>
      </c>
      <c r="U412" s="13">
        <v>2</v>
      </c>
    </row>
    <row r="413" spans="1:21" ht="95.25" customHeight="1" x14ac:dyDescent="0.25">
      <c r="A413" s="284"/>
      <c r="B413" s="324"/>
      <c r="C413" s="70"/>
      <c r="D413" s="71"/>
      <c r="E413" s="71"/>
      <c r="F413" s="72"/>
      <c r="G413" s="72"/>
      <c r="H413" s="70" t="s">
        <v>788</v>
      </c>
      <c r="I413" s="73" t="s">
        <v>464</v>
      </c>
      <c r="J413" s="166">
        <v>4</v>
      </c>
      <c r="K413" s="168">
        <v>4</v>
      </c>
      <c r="L413" s="76" t="s">
        <v>60</v>
      </c>
      <c r="M413" s="76" t="s">
        <v>15</v>
      </c>
      <c r="N413" s="76" t="s">
        <v>60</v>
      </c>
      <c r="O413" s="76" t="s">
        <v>15</v>
      </c>
      <c r="P413" s="70" t="s">
        <v>789</v>
      </c>
      <c r="Q413" s="77"/>
      <c r="S413" s="16"/>
      <c r="T413" s="17" t="s">
        <v>1554</v>
      </c>
      <c r="U413" s="13">
        <v>22</v>
      </c>
    </row>
    <row r="414" spans="1:21" ht="63" x14ac:dyDescent="0.25">
      <c r="A414" s="284"/>
      <c r="B414" s="324"/>
      <c r="C414" s="70"/>
      <c r="D414" s="71"/>
      <c r="E414" s="71"/>
      <c r="F414" s="72"/>
      <c r="G414" s="72"/>
      <c r="H414" s="70" t="s">
        <v>790</v>
      </c>
      <c r="I414" s="73" t="s">
        <v>464</v>
      </c>
      <c r="J414" s="166">
        <v>130</v>
      </c>
      <c r="K414" s="167">
        <v>110</v>
      </c>
      <c r="L414" s="76" t="s">
        <v>54</v>
      </c>
      <c r="M414" s="76" t="s">
        <v>15</v>
      </c>
      <c r="N414" s="76" t="s">
        <v>54</v>
      </c>
      <c r="O414" s="76" t="s">
        <v>15</v>
      </c>
      <c r="P414" s="70" t="s">
        <v>791</v>
      </c>
      <c r="Q414" s="77" t="s">
        <v>1782</v>
      </c>
    </row>
    <row r="415" spans="1:21" ht="63" x14ac:dyDescent="0.25">
      <c r="A415" s="284"/>
      <c r="B415" s="324"/>
      <c r="C415" s="70"/>
      <c r="D415" s="71"/>
      <c r="E415" s="71"/>
      <c r="F415" s="72"/>
      <c r="G415" s="72"/>
      <c r="H415" s="70" t="s">
        <v>792</v>
      </c>
      <c r="I415" s="73" t="s">
        <v>464</v>
      </c>
      <c r="J415" s="166">
        <v>1200</v>
      </c>
      <c r="K415" s="167">
        <v>1171</v>
      </c>
      <c r="L415" s="76" t="s">
        <v>794</v>
      </c>
      <c r="M415" s="76" t="s">
        <v>15</v>
      </c>
      <c r="N415" s="76" t="s">
        <v>785</v>
      </c>
      <c r="O415" s="76" t="s">
        <v>15</v>
      </c>
      <c r="P415" s="70" t="s">
        <v>795</v>
      </c>
      <c r="Q415" s="77" t="s">
        <v>1783</v>
      </c>
    </row>
    <row r="416" spans="1:21" ht="63.75" thickBot="1" x14ac:dyDescent="0.3">
      <c r="A416" s="281"/>
      <c r="B416" s="283"/>
      <c r="C416" s="70"/>
      <c r="D416" s="71"/>
      <c r="E416" s="71"/>
      <c r="F416" s="72"/>
      <c r="G416" s="72"/>
      <c r="H416" s="70" t="s">
        <v>796</v>
      </c>
      <c r="I416" s="73" t="s">
        <v>464</v>
      </c>
      <c r="J416" s="169"/>
      <c r="K416" s="169"/>
      <c r="L416" s="76" t="s">
        <v>797</v>
      </c>
      <c r="M416" s="76" t="s">
        <v>15</v>
      </c>
      <c r="N416" s="76" t="s">
        <v>797</v>
      </c>
      <c r="O416" s="76" t="s">
        <v>15</v>
      </c>
      <c r="P416" s="70"/>
      <c r="Q416" s="77" t="s">
        <v>1784</v>
      </c>
    </row>
    <row r="417" spans="1:17" ht="189" x14ac:dyDescent="0.25">
      <c r="A417" s="280" t="s">
        <v>798</v>
      </c>
      <c r="B417" s="282" t="s">
        <v>799</v>
      </c>
      <c r="C417" s="61"/>
      <c r="D417" s="62">
        <f>SUM(D418:D419)</f>
        <v>264.5</v>
      </c>
      <c r="E417" s="62">
        <f>SUM(E418:E419)+0.1</f>
        <v>251.4</v>
      </c>
      <c r="F417" s="63">
        <f>SUM(F418:F419)-0.1</f>
        <v>13.1</v>
      </c>
      <c r="G417" s="79">
        <f t="shared" ref="G417:G423" si="22">SUM(E417/D417)</f>
        <v>0.95047258979206051</v>
      </c>
      <c r="H417" s="61" t="s">
        <v>800</v>
      </c>
      <c r="I417" s="65" t="s">
        <v>19</v>
      </c>
      <c r="J417" s="66">
        <v>32</v>
      </c>
      <c r="K417" s="89">
        <v>32</v>
      </c>
      <c r="L417" s="68" t="s">
        <v>776</v>
      </c>
      <c r="M417" s="68" t="s">
        <v>15</v>
      </c>
      <c r="N417" s="68" t="s">
        <v>776</v>
      </c>
      <c r="O417" s="68" t="s">
        <v>15</v>
      </c>
      <c r="P417" s="61" t="s">
        <v>801</v>
      </c>
      <c r="Q417" s="69"/>
    </row>
    <row r="418" spans="1:17" ht="45" customHeight="1" x14ac:dyDescent="0.25">
      <c r="A418" s="284"/>
      <c r="B418" s="324"/>
      <c r="C418" s="70" t="s">
        <v>27</v>
      </c>
      <c r="D418" s="71">
        <v>164.5</v>
      </c>
      <c r="E418" s="71">
        <v>159</v>
      </c>
      <c r="F418" s="72">
        <v>5.5</v>
      </c>
      <c r="G418" s="80">
        <f t="shared" si="22"/>
        <v>0.96656534954407292</v>
      </c>
      <c r="H418" s="246" t="s">
        <v>802</v>
      </c>
      <c r="I418" s="247" t="s">
        <v>19</v>
      </c>
      <c r="J418" s="248">
        <v>14</v>
      </c>
      <c r="K418" s="249">
        <v>14</v>
      </c>
      <c r="L418" s="76"/>
      <c r="M418" s="76"/>
      <c r="N418" s="76"/>
      <c r="O418" s="76"/>
      <c r="P418" s="246" t="s">
        <v>803</v>
      </c>
      <c r="Q418" s="286" t="s">
        <v>1686</v>
      </c>
    </row>
    <row r="419" spans="1:17" ht="25.5" customHeight="1" thickBot="1" x14ac:dyDescent="0.3">
      <c r="A419" s="281"/>
      <c r="B419" s="283"/>
      <c r="C419" s="70" t="s">
        <v>37</v>
      </c>
      <c r="D419" s="71">
        <v>100</v>
      </c>
      <c r="E419" s="71">
        <v>92.3</v>
      </c>
      <c r="F419" s="72">
        <v>7.7</v>
      </c>
      <c r="G419" s="91">
        <f t="shared" si="22"/>
        <v>0.92299999999999993</v>
      </c>
      <c r="H419" s="214"/>
      <c r="I419" s="217"/>
      <c r="J419" s="220"/>
      <c r="K419" s="245"/>
      <c r="L419" s="76"/>
      <c r="M419" s="76"/>
      <c r="N419" s="76"/>
      <c r="O419" s="76"/>
      <c r="P419" s="214"/>
      <c r="Q419" s="229"/>
    </row>
    <row r="420" spans="1:17" ht="63.75" thickBot="1" x14ac:dyDescent="0.3">
      <c r="A420" s="53" t="s">
        <v>804</v>
      </c>
      <c r="B420" s="54" t="s">
        <v>805</v>
      </c>
      <c r="C420" s="55"/>
      <c r="D420" s="56">
        <f>D421+D425+D426</f>
        <v>466.59999999999997</v>
      </c>
      <c r="E420" s="56">
        <f>E421+E425+E426</f>
        <v>428.79999999999995</v>
      </c>
      <c r="F420" s="56">
        <f>F421+F425+F426</f>
        <v>37.799999999999997</v>
      </c>
      <c r="G420" s="57">
        <f t="shared" si="22"/>
        <v>0.9189884269181311</v>
      </c>
      <c r="H420" s="55"/>
      <c r="I420" s="58"/>
      <c r="J420" s="59"/>
      <c r="K420" s="59"/>
      <c r="L420" s="60"/>
      <c r="M420" s="60"/>
      <c r="N420" s="60"/>
      <c r="O420" s="60"/>
      <c r="P420" s="210"/>
      <c r="Q420" s="211"/>
    </row>
    <row r="421" spans="1:17" ht="94.5" customHeight="1" x14ac:dyDescent="0.25">
      <c r="A421" s="280" t="s">
        <v>806</v>
      </c>
      <c r="B421" s="282" t="s">
        <v>807</v>
      </c>
      <c r="C421" s="61"/>
      <c r="D421" s="62">
        <f>SUM(D422:D424)</f>
        <v>72.399999999999991</v>
      </c>
      <c r="E421" s="62">
        <f>SUM(E422:E424)</f>
        <v>40.9</v>
      </c>
      <c r="F421" s="63">
        <f>SUM(F422:F424)</f>
        <v>31.5</v>
      </c>
      <c r="G421" s="79">
        <f t="shared" si="22"/>
        <v>0.56491712707182329</v>
      </c>
      <c r="H421" s="61" t="s">
        <v>808</v>
      </c>
      <c r="I421" s="65" t="s">
        <v>464</v>
      </c>
      <c r="J421" s="66">
        <v>24</v>
      </c>
      <c r="K421" s="89">
        <v>24</v>
      </c>
      <c r="L421" s="68" t="s">
        <v>128</v>
      </c>
      <c r="M421" s="68" t="s">
        <v>15</v>
      </c>
      <c r="N421" s="68" t="s">
        <v>128</v>
      </c>
      <c r="O421" s="68" t="s">
        <v>15</v>
      </c>
      <c r="P421" s="61" t="s">
        <v>809</v>
      </c>
      <c r="Q421" s="69"/>
    </row>
    <row r="422" spans="1:17" ht="111.75" customHeight="1" x14ac:dyDescent="0.25">
      <c r="A422" s="284"/>
      <c r="B422" s="324"/>
      <c r="C422" s="70" t="s">
        <v>27</v>
      </c>
      <c r="D422" s="71">
        <v>57.3</v>
      </c>
      <c r="E422" s="71">
        <v>25.8</v>
      </c>
      <c r="F422" s="72">
        <v>31.5</v>
      </c>
      <c r="G422" s="80">
        <f t="shared" si="22"/>
        <v>0.45026178010471207</v>
      </c>
      <c r="H422" s="70" t="s">
        <v>810</v>
      </c>
      <c r="I422" s="73" t="s">
        <v>19</v>
      </c>
      <c r="J422" s="74">
        <v>1</v>
      </c>
      <c r="K422" s="81">
        <v>1</v>
      </c>
      <c r="L422" s="76" t="s">
        <v>29</v>
      </c>
      <c r="M422" s="76" t="s">
        <v>15</v>
      </c>
      <c r="N422" s="76" t="s">
        <v>29</v>
      </c>
      <c r="O422" s="76" t="s">
        <v>15</v>
      </c>
      <c r="P422" s="70" t="s">
        <v>811</v>
      </c>
      <c r="Q422" s="77"/>
    </row>
    <row r="423" spans="1:17" ht="63" x14ac:dyDescent="0.25">
      <c r="A423" s="284"/>
      <c r="B423" s="324"/>
      <c r="C423" s="70" t="s">
        <v>37</v>
      </c>
      <c r="D423" s="71">
        <v>15.1</v>
      </c>
      <c r="E423" s="71">
        <v>15.1</v>
      </c>
      <c r="F423" s="72"/>
      <c r="G423" s="91">
        <f t="shared" si="22"/>
        <v>1</v>
      </c>
      <c r="H423" s="70" t="s">
        <v>812</v>
      </c>
      <c r="I423" s="73" t="s">
        <v>19</v>
      </c>
      <c r="J423" s="74">
        <v>1</v>
      </c>
      <c r="K423" s="81">
        <v>1</v>
      </c>
      <c r="L423" s="76"/>
      <c r="M423" s="76"/>
      <c r="N423" s="76"/>
      <c r="O423" s="76"/>
      <c r="P423" s="70"/>
      <c r="Q423" s="77"/>
    </row>
    <row r="424" spans="1:17" ht="151.5" customHeight="1" thickBot="1" x14ac:dyDescent="0.3">
      <c r="A424" s="281"/>
      <c r="B424" s="283"/>
      <c r="C424" s="70"/>
      <c r="D424" s="71"/>
      <c r="E424" s="71"/>
      <c r="F424" s="72"/>
      <c r="G424" s="72"/>
      <c r="H424" s="70" t="s">
        <v>813</v>
      </c>
      <c r="I424" s="73" t="s">
        <v>464</v>
      </c>
      <c r="J424" s="74">
        <v>33</v>
      </c>
      <c r="K424" s="111">
        <v>41</v>
      </c>
      <c r="L424" s="76" t="s">
        <v>130</v>
      </c>
      <c r="M424" s="76" t="s">
        <v>15</v>
      </c>
      <c r="N424" s="76" t="s">
        <v>814</v>
      </c>
      <c r="O424" s="76" t="s">
        <v>15</v>
      </c>
      <c r="P424" s="70" t="s">
        <v>815</v>
      </c>
      <c r="Q424" s="77" t="s">
        <v>1687</v>
      </c>
    </row>
    <row r="425" spans="1:17" ht="125.25" customHeight="1" thickBot="1" x14ac:dyDescent="0.3">
      <c r="A425" s="93" t="s">
        <v>816</v>
      </c>
      <c r="B425" s="94" t="s">
        <v>817</v>
      </c>
      <c r="C425" s="61" t="s">
        <v>27</v>
      </c>
      <c r="D425" s="95">
        <v>17.5</v>
      </c>
      <c r="E425" s="95">
        <v>16.7</v>
      </c>
      <c r="F425" s="96">
        <v>0.8</v>
      </c>
      <c r="G425" s="79">
        <f>SUM(E425/D425)</f>
        <v>0.95428571428571429</v>
      </c>
      <c r="H425" s="61" t="s">
        <v>818</v>
      </c>
      <c r="I425" s="65" t="s">
        <v>563</v>
      </c>
      <c r="J425" s="121">
        <v>1200</v>
      </c>
      <c r="K425" s="170">
        <v>1200</v>
      </c>
      <c r="L425" s="68" t="s">
        <v>793</v>
      </c>
      <c r="M425" s="68" t="s">
        <v>15</v>
      </c>
      <c r="N425" s="68" t="s">
        <v>793</v>
      </c>
      <c r="O425" s="68" t="s">
        <v>15</v>
      </c>
      <c r="P425" s="61" t="s">
        <v>819</v>
      </c>
      <c r="Q425" s="69" t="s">
        <v>1818</v>
      </c>
    </row>
    <row r="426" spans="1:17" ht="109.5" customHeight="1" x14ac:dyDescent="0.25">
      <c r="A426" s="280" t="s">
        <v>820</v>
      </c>
      <c r="B426" s="282" t="s">
        <v>821</v>
      </c>
      <c r="C426" s="61" t="s">
        <v>27</v>
      </c>
      <c r="D426" s="62">
        <f>SUM(D427:D437)+376.7</f>
        <v>376.7</v>
      </c>
      <c r="E426" s="62">
        <f>SUM(E427:E437)+371.2</f>
        <v>371.2</v>
      </c>
      <c r="F426" s="63">
        <f>SUM(F427:F437)+5.5</f>
        <v>5.5</v>
      </c>
      <c r="G426" s="79">
        <f>SUM(E426/D426)</f>
        <v>0.98539952216617999</v>
      </c>
      <c r="H426" s="61" t="s">
        <v>822</v>
      </c>
      <c r="I426" s="65" t="s">
        <v>464</v>
      </c>
      <c r="J426" s="66">
        <v>167</v>
      </c>
      <c r="K426" s="145">
        <v>120</v>
      </c>
      <c r="L426" s="68" t="s">
        <v>823</v>
      </c>
      <c r="M426" s="68" t="s">
        <v>15</v>
      </c>
      <c r="N426" s="68" t="s">
        <v>823</v>
      </c>
      <c r="O426" s="68" t="s">
        <v>15</v>
      </c>
      <c r="P426" s="61" t="s">
        <v>824</v>
      </c>
      <c r="Q426" s="69" t="s">
        <v>1803</v>
      </c>
    </row>
    <row r="427" spans="1:17" ht="37.5" customHeight="1" x14ac:dyDescent="0.25">
      <c r="A427" s="284"/>
      <c r="B427" s="324"/>
      <c r="C427" s="70"/>
      <c r="D427" s="71"/>
      <c r="E427" s="71"/>
      <c r="F427" s="72"/>
      <c r="G427" s="72"/>
      <c r="H427" s="70" t="s">
        <v>825</v>
      </c>
      <c r="I427" s="73" t="s">
        <v>464</v>
      </c>
      <c r="J427" s="74">
        <v>4</v>
      </c>
      <c r="K427" s="81">
        <v>4</v>
      </c>
      <c r="L427" s="76" t="s">
        <v>110</v>
      </c>
      <c r="M427" s="76" t="s">
        <v>15</v>
      </c>
      <c r="N427" s="76" t="s">
        <v>110</v>
      </c>
      <c r="O427" s="76" t="s">
        <v>15</v>
      </c>
      <c r="P427" s="70" t="s">
        <v>1688</v>
      </c>
      <c r="Q427" s="77"/>
    </row>
    <row r="428" spans="1:17" ht="141.75" x14ac:dyDescent="0.25">
      <c r="A428" s="284"/>
      <c r="B428" s="324"/>
      <c r="C428" s="70"/>
      <c r="D428" s="71"/>
      <c r="E428" s="71"/>
      <c r="F428" s="72"/>
      <c r="G428" s="72"/>
      <c r="H428" s="70" t="s">
        <v>826</v>
      </c>
      <c r="I428" s="73" t="s">
        <v>464</v>
      </c>
      <c r="J428" s="74">
        <v>4</v>
      </c>
      <c r="K428" s="81">
        <v>2</v>
      </c>
      <c r="L428" s="76" t="s">
        <v>109</v>
      </c>
      <c r="M428" s="76" t="s">
        <v>15</v>
      </c>
      <c r="N428" s="76" t="s">
        <v>109</v>
      </c>
      <c r="O428" s="76" t="s">
        <v>15</v>
      </c>
      <c r="P428" s="70" t="s">
        <v>827</v>
      </c>
      <c r="Q428" s="77"/>
    </row>
    <row r="429" spans="1:17" ht="126" x14ac:dyDescent="0.25">
      <c r="A429" s="284"/>
      <c r="B429" s="324"/>
      <c r="C429" s="70"/>
      <c r="D429" s="71"/>
      <c r="E429" s="71"/>
      <c r="F429" s="72"/>
      <c r="G429" s="72"/>
      <c r="H429" s="70" t="s">
        <v>828</v>
      </c>
      <c r="I429" s="73" t="s">
        <v>464</v>
      </c>
      <c r="J429" s="74">
        <v>1</v>
      </c>
      <c r="K429" s="81">
        <v>1</v>
      </c>
      <c r="L429" s="76" t="s">
        <v>29</v>
      </c>
      <c r="M429" s="76" t="s">
        <v>15</v>
      </c>
      <c r="N429" s="76" t="s">
        <v>29</v>
      </c>
      <c r="O429" s="76" t="s">
        <v>15</v>
      </c>
      <c r="P429" s="70" t="s">
        <v>829</v>
      </c>
      <c r="Q429" s="77"/>
    </row>
    <row r="430" spans="1:17" ht="78.75" x14ac:dyDescent="0.25">
      <c r="A430" s="284"/>
      <c r="B430" s="324"/>
      <c r="C430" s="70"/>
      <c r="D430" s="71"/>
      <c r="E430" s="71"/>
      <c r="F430" s="72"/>
      <c r="G430" s="72"/>
      <c r="H430" s="70" t="s">
        <v>830</v>
      </c>
      <c r="I430" s="73" t="s">
        <v>464</v>
      </c>
      <c r="J430" s="74">
        <v>10</v>
      </c>
      <c r="K430" s="81">
        <v>10</v>
      </c>
      <c r="L430" s="76" t="s">
        <v>114</v>
      </c>
      <c r="M430" s="76" t="s">
        <v>15</v>
      </c>
      <c r="N430" s="76" t="s">
        <v>114</v>
      </c>
      <c r="O430" s="76" t="s">
        <v>15</v>
      </c>
      <c r="P430" s="70" t="s">
        <v>831</v>
      </c>
      <c r="Q430" s="77"/>
    </row>
    <row r="431" spans="1:17" ht="47.25" x14ac:dyDescent="0.25">
      <c r="A431" s="284"/>
      <c r="B431" s="324"/>
      <c r="C431" s="70"/>
      <c r="D431" s="71"/>
      <c r="E431" s="71"/>
      <c r="F431" s="72"/>
      <c r="G431" s="72"/>
      <c r="H431" s="70" t="s">
        <v>832</v>
      </c>
      <c r="I431" s="73" t="s">
        <v>464</v>
      </c>
      <c r="J431" s="74">
        <v>22</v>
      </c>
      <c r="K431" s="81">
        <v>22</v>
      </c>
      <c r="L431" s="76" t="s">
        <v>726</v>
      </c>
      <c r="M431" s="76" t="s">
        <v>15</v>
      </c>
      <c r="N431" s="76"/>
      <c r="O431" s="76"/>
      <c r="P431" s="83" t="s">
        <v>1689</v>
      </c>
      <c r="Q431" s="77" t="s">
        <v>1690</v>
      </c>
    </row>
    <row r="432" spans="1:17" ht="63" x14ac:dyDescent="0.25">
      <c r="A432" s="284"/>
      <c r="B432" s="324"/>
      <c r="C432" s="70"/>
      <c r="D432" s="71"/>
      <c r="E432" s="71"/>
      <c r="F432" s="72"/>
      <c r="G432" s="72"/>
      <c r="H432" s="70" t="s">
        <v>833</v>
      </c>
      <c r="I432" s="73" t="s">
        <v>464</v>
      </c>
      <c r="J432" s="74">
        <v>2</v>
      </c>
      <c r="K432" s="81">
        <v>2</v>
      </c>
      <c r="L432" s="76" t="s">
        <v>42</v>
      </c>
      <c r="M432" s="76" t="s">
        <v>15</v>
      </c>
      <c r="N432" s="76" t="s">
        <v>42</v>
      </c>
      <c r="O432" s="76" t="s">
        <v>15</v>
      </c>
      <c r="P432" s="70" t="s">
        <v>1691</v>
      </c>
      <c r="Q432" s="77"/>
    </row>
    <row r="433" spans="1:17" ht="110.25" x14ac:dyDescent="0.25">
      <c r="A433" s="284"/>
      <c r="B433" s="324"/>
      <c r="C433" s="70"/>
      <c r="D433" s="71"/>
      <c r="E433" s="71"/>
      <c r="F433" s="72"/>
      <c r="G433" s="72"/>
      <c r="H433" s="70" t="s">
        <v>834</v>
      </c>
      <c r="I433" s="73" t="s">
        <v>19</v>
      </c>
      <c r="J433" s="74">
        <v>1</v>
      </c>
      <c r="K433" s="81">
        <v>1</v>
      </c>
      <c r="L433" s="76" t="s">
        <v>29</v>
      </c>
      <c r="M433" s="76" t="s">
        <v>15</v>
      </c>
      <c r="N433" s="76" t="s">
        <v>29</v>
      </c>
      <c r="O433" s="76" t="s">
        <v>15</v>
      </c>
      <c r="P433" s="70" t="s">
        <v>835</v>
      </c>
      <c r="Q433" s="77"/>
    </row>
    <row r="434" spans="1:17" ht="78.75" x14ac:dyDescent="0.25">
      <c r="A434" s="284"/>
      <c r="B434" s="324"/>
      <c r="C434" s="70"/>
      <c r="D434" s="71"/>
      <c r="E434" s="71"/>
      <c r="F434" s="72"/>
      <c r="G434" s="72"/>
      <c r="H434" s="70" t="s">
        <v>836</v>
      </c>
      <c r="I434" s="73" t="s">
        <v>464</v>
      </c>
      <c r="J434" s="74">
        <v>0</v>
      </c>
      <c r="K434" s="111">
        <v>1</v>
      </c>
      <c r="L434" s="76"/>
      <c r="M434" s="76"/>
      <c r="N434" s="76"/>
      <c r="O434" s="76"/>
      <c r="P434" s="70" t="s">
        <v>837</v>
      </c>
      <c r="Q434" s="77"/>
    </row>
    <row r="435" spans="1:17" ht="94.5" x14ac:dyDescent="0.25">
      <c r="A435" s="284"/>
      <c r="B435" s="324"/>
      <c r="C435" s="70"/>
      <c r="D435" s="71"/>
      <c r="E435" s="71"/>
      <c r="F435" s="72"/>
      <c r="G435" s="72"/>
      <c r="H435" s="70" t="s">
        <v>838</v>
      </c>
      <c r="I435" s="73" t="s">
        <v>19</v>
      </c>
      <c r="J435" s="74">
        <v>1</v>
      </c>
      <c r="K435" s="81">
        <v>1</v>
      </c>
      <c r="L435" s="76"/>
      <c r="M435" s="76"/>
      <c r="N435" s="76"/>
      <c r="O435" s="76"/>
      <c r="P435" s="70" t="s">
        <v>839</v>
      </c>
      <c r="Q435" s="77"/>
    </row>
    <row r="436" spans="1:17" ht="126" x14ac:dyDescent="0.25">
      <c r="A436" s="284"/>
      <c r="B436" s="324"/>
      <c r="C436" s="70"/>
      <c r="D436" s="71"/>
      <c r="E436" s="71"/>
      <c r="F436" s="72"/>
      <c r="G436" s="72"/>
      <c r="H436" s="70" t="s">
        <v>840</v>
      </c>
      <c r="I436" s="73" t="s">
        <v>464</v>
      </c>
      <c r="J436" s="74">
        <v>4</v>
      </c>
      <c r="K436" s="81">
        <v>4</v>
      </c>
      <c r="L436" s="76"/>
      <c r="M436" s="76"/>
      <c r="N436" s="76"/>
      <c r="O436" s="76"/>
      <c r="P436" s="70" t="s">
        <v>841</v>
      </c>
      <c r="Q436" s="77"/>
    </row>
    <row r="437" spans="1:17" ht="109.5" customHeight="1" thickBot="1" x14ac:dyDescent="0.3">
      <c r="A437" s="281"/>
      <c r="B437" s="283"/>
      <c r="C437" s="70"/>
      <c r="D437" s="71"/>
      <c r="E437" s="71"/>
      <c r="F437" s="72"/>
      <c r="G437" s="72"/>
      <c r="H437" s="70" t="s">
        <v>842</v>
      </c>
      <c r="I437" s="73" t="s">
        <v>19</v>
      </c>
      <c r="J437" s="74">
        <v>58</v>
      </c>
      <c r="K437" s="81">
        <v>58</v>
      </c>
      <c r="L437" s="76"/>
      <c r="M437" s="76"/>
      <c r="N437" s="76"/>
      <c r="O437" s="76"/>
      <c r="P437" s="70" t="s">
        <v>843</v>
      </c>
      <c r="Q437" s="77"/>
    </row>
    <row r="438" spans="1:17" ht="143.25" customHeight="1" thickBot="1" x14ac:dyDescent="0.3">
      <c r="A438" s="45" t="s">
        <v>844</v>
      </c>
      <c r="B438" s="46" t="s">
        <v>845</v>
      </c>
      <c r="C438" s="47"/>
      <c r="D438" s="48">
        <f>SUM(D439:D439)</f>
        <v>47822.600000000006</v>
      </c>
      <c r="E438" s="48">
        <f>SUM(E439:E439)</f>
        <v>45237.599999999999</v>
      </c>
      <c r="F438" s="48">
        <f>SUM(F439:F439)</f>
        <v>2584.9999999999995</v>
      </c>
      <c r="G438" s="49">
        <f t="shared" ref="G438:G448" si="23">SUM(E438/D438)</f>
        <v>0.9459460589762998</v>
      </c>
      <c r="H438" s="47" t="s">
        <v>846</v>
      </c>
      <c r="I438" s="50" t="s">
        <v>464</v>
      </c>
      <c r="J438" s="51">
        <v>32</v>
      </c>
      <c r="K438" s="51">
        <v>32</v>
      </c>
      <c r="L438" s="52" t="s">
        <v>776</v>
      </c>
      <c r="M438" s="52" t="s">
        <v>15</v>
      </c>
      <c r="N438" s="52" t="s">
        <v>776</v>
      </c>
      <c r="O438" s="52" t="s">
        <v>15</v>
      </c>
      <c r="P438" s="230"/>
      <c r="Q438" s="231"/>
    </row>
    <row r="439" spans="1:17" ht="111" thickBot="1" x14ac:dyDescent="0.3">
      <c r="A439" s="53" t="s">
        <v>847</v>
      </c>
      <c r="B439" s="54" t="s">
        <v>848</v>
      </c>
      <c r="C439" s="55"/>
      <c r="D439" s="56">
        <f>D440+D452+D455+D456+D460+D463+D464</f>
        <v>47822.600000000006</v>
      </c>
      <c r="E439" s="56">
        <f>E440+E452+E455+E456+E460+E463+E464</f>
        <v>45237.599999999999</v>
      </c>
      <c r="F439" s="56">
        <f>F440+F452+F455+F456+F460+F463+F464</f>
        <v>2584.9999999999995</v>
      </c>
      <c r="G439" s="57">
        <f t="shared" si="23"/>
        <v>0.9459460589762998</v>
      </c>
      <c r="H439" s="55"/>
      <c r="I439" s="58"/>
      <c r="J439" s="59"/>
      <c r="K439" s="59"/>
      <c r="L439" s="60"/>
      <c r="M439" s="60"/>
      <c r="N439" s="60"/>
      <c r="O439" s="60"/>
      <c r="P439" s="210"/>
      <c r="Q439" s="211"/>
    </row>
    <row r="440" spans="1:17" ht="110.25" x14ac:dyDescent="0.25">
      <c r="A440" s="280" t="s">
        <v>849</v>
      </c>
      <c r="B440" s="282" t="s">
        <v>850</v>
      </c>
      <c r="C440" s="61"/>
      <c r="D440" s="62">
        <f>SUM(D441:D451)</f>
        <v>46400.100000000006</v>
      </c>
      <c r="E440" s="62">
        <f>SUM(E441:E451)</f>
        <v>44099.899999999994</v>
      </c>
      <c r="F440" s="63">
        <f>SUM(F441:F451)</f>
        <v>2300.1999999999998</v>
      </c>
      <c r="G440" s="79">
        <f t="shared" si="23"/>
        <v>0.95042683097665714</v>
      </c>
      <c r="H440" s="61" t="s">
        <v>846</v>
      </c>
      <c r="I440" s="65" t="s">
        <v>464</v>
      </c>
      <c r="J440" s="66">
        <v>32</v>
      </c>
      <c r="K440" s="89">
        <v>32</v>
      </c>
      <c r="L440" s="68" t="s">
        <v>776</v>
      </c>
      <c r="M440" s="68" t="s">
        <v>15</v>
      </c>
      <c r="N440" s="68" t="s">
        <v>776</v>
      </c>
      <c r="O440" s="68" t="s">
        <v>15</v>
      </c>
      <c r="P440" s="61" t="s">
        <v>851</v>
      </c>
      <c r="Q440" s="69" t="s">
        <v>1804</v>
      </c>
    </row>
    <row r="441" spans="1:17" ht="63" x14ac:dyDescent="0.25">
      <c r="A441" s="284"/>
      <c r="B441" s="324"/>
      <c r="C441" s="70" t="s">
        <v>204</v>
      </c>
      <c r="D441" s="71">
        <v>1080.5</v>
      </c>
      <c r="E441" s="71">
        <v>466.6</v>
      </c>
      <c r="F441" s="72">
        <v>613.9</v>
      </c>
      <c r="G441" s="80">
        <f t="shared" si="23"/>
        <v>0.43183711244794076</v>
      </c>
      <c r="H441" s="70" t="s">
        <v>852</v>
      </c>
      <c r="I441" s="73" t="s">
        <v>464</v>
      </c>
      <c r="J441" s="114">
        <v>13500</v>
      </c>
      <c r="K441" s="115">
        <v>13977</v>
      </c>
      <c r="L441" s="76" t="s">
        <v>853</v>
      </c>
      <c r="M441" s="76" t="s">
        <v>15</v>
      </c>
      <c r="N441" s="76" t="s">
        <v>853</v>
      </c>
      <c r="O441" s="76" t="s">
        <v>15</v>
      </c>
      <c r="P441" s="70"/>
      <c r="Q441" s="77"/>
    </row>
    <row r="442" spans="1:17" ht="63" x14ac:dyDescent="0.25">
      <c r="A442" s="284"/>
      <c r="B442" s="324"/>
      <c r="C442" s="70" t="s">
        <v>165</v>
      </c>
      <c r="D442" s="71">
        <v>849.3</v>
      </c>
      <c r="E442" s="71">
        <v>669.4</v>
      </c>
      <c r="F442" s="72">
        <v>179.9</v>
      </c>
      <c r="G442" s="80">
        <f t="shared" si="23"/>
        <v>0.78817849994112799</v>
      </c>
      <c r="H442" s="70" t="s">
        <v>854</v>
      </c>
      <c r="I442" s="73" t="s">
        <v>19</v>
      </c>
      <c r="J442" s="74">
        <v>1</v>
      </c>
      <c r="K442" s="81">
        <v>1</v>
      </c>
      <c r="L442" s="76" t="s">
        <v>29</v>
      </c>
      <c r="M442" s="76" t="s">
        <v>15</v>
      </c>
      <c r="N442" s="76" t="s">
        <v>29</v>
      </c>
      <c r="O442" s="76" t="s">
        <v>15</v>
      </c>
      <c r="P442" s="70"/>
      <c r="Q442" s="77"/>
    </row>
    <row r="443" spans="1:17" ht="94.5" x14ac:dyDescent="0.25">
      <c r="A443" s="284"/>
      <c r="B443" s="324"/>
      <c r="C443" s="70" t="s">
        <v>855</v>
      </c>
      <c r="D443" s="71">
        <v>27540.5</v>
      </c>
      <c r="E443" s="71">
        <v>27497.5</v>
      </c>
      <c r="F443" s="72">
        <v>43</v>
      </c>
      <c r="G443" s="80">
        <f t="shared" si="23"/>
        <v>0.99843866305985729</v>
      </c>
      <c r="H443" s="70" t="s">
        <v>856</v>
      </c>
      <c r="I443" s="73" t="s">
        <v>464</v>
      </c>
      <c r="J443" s="114">
        <v>5500</v>
      </c>
      <c r="K443" s="117">
        <v>5319</v>
      </c>
      <c r="L443" s="76" t="s">
        <v>858</v>
      </c>
      <c r="M443" s="76" t="s">
        <v>15</v>
      </c>
      <c r="N443" s="76" t="s">
        <v>857</v>
      </c>
      <c r="O443" s="76" t="s">
        <v>15</v>
      </c>
      <c r="P443" s="70"/>
      <c r="Q443" s="77" t="s">
        <v>1692</v>
      </c>
    </row>
    <row r="444" spans="1:17" ht="63" x14ac:dyDescent="0.25">
      <c r="A444" s="284"/>
      <c r="B444" s="324"/>
      <c r="C444" s="70" t="s">
        <v>37</v>
      </c>
      <c r="D444" s="71">
        <v>237.9</v>
      </c>
      <c r="E444" s="71">
        <v>234.3</v>
      </c>
      <c r="F444" s="72">
        <v>3.6</v>
      </c>
      <c r="G444" s="80">
        <f t="shared" si="23"/>
        <v>0.98486759142496849</v>
      </c>
      <c r="H444" s="70" t="s">
        <v>859</v>
      </c>
      <c r="I444" s="73" t="s">
        <v>19</v>
      </c>
      <c r="J444" s="74">
        <v>1</v>
      </c>
      <c r="K444" s="81">
        <v>1</v>
      </c>
      <c r="L444" s="76" t="s">
        <v>29</v>
      </c>
      <c r="M444" s="76" t="s">
        <v>15</v>
      </c>
      <c r="N444" s="76" t="s">
        <v>29</v>
      </c>
      <c r="O444" s="76" t="s">
        <v>15</v>
      </c>
      <c r="P444" s="70"/>
      <c r="Q444" s="77"/>
    </row>
    <row r="445" spans="1:17" ht="63" x14ac:dyDescent="0.25">
      <c r="A445" s="284"/>
      <c r="B445" s="324"/>
      <c r="C445" s="70" t="s">
        <v>27</v>
      </c>
      <c r="D445" s="71">
        <v>9482.6</v>
      </c>
      <c r="E445" s="71">
        <v>9387.4</v>
      </c>
      <c r="F445" s="72">
        <v>95.2</v>
      </c>
      <c r="G445" s="80">
        <f t="shared" si="23"/>
        <v>0.98996055934026528</v>
      </c>
      <c r="H445" s="70" t="s">
        <v>860</v>
      </c>
      <c r="I445" s="73" t="s">
        <v>464</v>
      </c>
      <c r="J445" s="74">
        <v>27</v>
      </c>
      <c r="K445" s="81">
        <v>27</v>
      </c>
      <c r="L445" s="76" t="s">
        <v>129</v>
      </c>
      <c r="M445" s="76" t="s">
        <v>15</v>
      </c>
      <c r="N445" s="76" t="s">
        <v>129</v>
      </c>
      <c r="O445" s="76" t="s">
        <v>15</v>
      </c>
      <c r="P445" s="70"/>
      <c r="Q445" s="77"/>
    </row>
    <row r="446" spans="1:17" ht="63" x14ac:dyDescent="0.25">
      <c r="A446" s="284"/>
      <c r="B446" s="324"/>
      <c r="C446" s="70" t="s">
        <v>175</v>
      </c>
      <c r="D446" s="71">
        <v>4985.3999999999996</v>
      </c>
      <c r="E446" s="71">
        <v>4950.1000000000004</v>
      </c>
      <c r="F446" s="72">
        <v>35.299999999999997</v>
      </c>
      <c r="G446" s="80">
        <f t="shared" si="23"/>
        <v>0.99291932442732789</v>
      </c>
      <c r="H446" s="70" t="s">
        <v>861</v>
      </c>
      <c r="I446" s="73" t="s">
        <v>464</v>
      </c>
      <c r="J446" s="74">
        <v>62</v>
      </c>
      <c r="K446" s="81">
        <v>62</v>
      </c>
      <c r="L446" s="76" t="s">
        <v>685</v>
      </c>
      <c r="M446" s="76" t="s">
        <v>15</v>
      </c>
      <c r="N446" s="76" t="s">
        <v>685</v>
      </c>
      <c r="O446" s="76" t="s">
        <v>15</v>
      </c>
      <c r="P446" s="70"/>
      <c r="Q446" s="77"/>
    </row>
    <row r="447" spans="1:17" ht="50.25" customHeight="1" x14ac:dyDescent="0.25">
      <c r="A447" s="284"/>
      <c r="B447" s="324"/>
      <c r="C447" s="70" t="s">
        <v>160</v>
      </c>
      <c r="D447" s="71">
        <v>1021.3</v>
      </c>
      <c r="E447" s="71">
        <v>259.89999999999998</v>
      </c>
      <c r="F447" s="72">
        <v>761.4</v>
      </c>
      <c r="G447" s="80">
        <f t="shared" si="23"/>
        <v>0.25447958484284733</v>
      </c>
      <c r="H447" s="70" t="s">
        <v>862</v>
      </c>
      <c r="I447" s="73" t="s">
        <v>293</v>
      </c>
      <c r="J447" s="74">
        <v>12.4</v>
      </c>
      <c r="K447" s="157">
        <v>12.4</v>
      </c>
      <c r="L447" s="76" t="s">
        <v>863</v>
      </c>
      <c r="M447" s="76" t="s">
        <v>15</v>
      </c>
      <c r="N447" s="76" t="s">
        <v>863</v>
      </c>
      <c r="O447" s="76" t="s">
        <v>15</v>
      </c>
      <c r="P447" s="70"/>
      <c r="Q447" s="127"/>
    </row>
    <row r="448" spans="1:17" ht="126" x14ac:dyDescent="0.25">
      <c r="A448" s="284"/>
      <c r="B448" s="324"/>
      <c r="C448" s="70" t="s">
        <v>169</v>
      </c>
      <c r="D448" s="71">
        <v>1202.5999999999999</v>
      </c>
      <c r="E448" s="71">
        <v>634.70000000000005</v>
      </c>
      <c r="F448" s="72">
        <v>567.9</v>
      </c>
      <c r="G448" s="91">
        <f t="shared" si="23"/>
        <v>0.52777315815732584</v>
      </c>
      <c r="H448" s="70" t="s">
        <v>864</v>
      </c>
      <c r="I448" s="73" t="s">
        <v>464</v>
      </c>
      <c r="J448" s="114">
        <v>12800</v>
      </c>
      <c r="K448" s="171">
        <v>12800</v>
      </c>
      <c r="L448" s="76" t="s">
        <v>865</v>
      </c>
      <c r="M448" s="76" t="s">
        <v>15</v>
      </c>
      <c r="N448" s="76" t="s">
        <v>865</v>
      </c>
      <c r="O448" s="76" t="s">
        <v>15</v>
      </c>
      <c r="P448" s="70"/>
      <c r="Q448" s="77"/>
    </row>
    <row r="449" spans="1:17" ht="57" customHeight="1" x14ac:dyDescent="0.25">
      <c r="A449" s="284"/>
      <c r="B449" s="324"/>
      <c r="C449" s="70"/>
      <c r="D449" s="71"/>
      <c r="E449" s="71"/>
      <c r="F449" s="72"/>
      <c r="G449" s="72"/>
      <c r="H449" s="70" t="s">
        <v>866</v>
      </c>
      <c r="I449" s="73" t="s">
        <v>563</v>
      </c>
      <c r="J449" s="74">
        <v>20</v>
      </c>
      <c r="K449" s="75">
        <v>0</v>
      </c>
      <c r="L449" s="76" t="s">
        <v>566</v>
      </c>
      <c r="M449" s="76" t="s">
        <v>15</v>
      </c>
      <c r="N449" s="76" t="s">
        <v>152</v>
      </c>
      <c r="O449" s="76" t="s">
        <v>15</v>
      </c>
      <c r="P449" s="70"/>
      <c r="Q449" s="77" t="s">
        <v>1805</v>
      </c>
    </row>
    <row r="450" spans="1:17" ht="111.75" customHeight="1" x14ac:dyDescent="0.25">
      <c r="A450" s="284"/>
      <c r="B450" s="324"/>
      <c r="C450" s="70"/>
      <c r="D450" s="71"/>
      <c r="E450" s="71"/>
      <c r="F450" s="72"/>
      <c r="G450" s="72"/>
      <c r="H450" s="70" t="s">
        <v>867</v>
      </c>
      <c r="I450" s="73" t="s">
        <v>14</v>
      </c>
      <c r="J450" s="74">
        <v>10</v>
      </c>
      <c r="K450" s="111">
        <v>17.899999999999999</v>
      </c>
      <c r="L450" s="76" t="s">
        <v>114</v>
      </c>
      <c r="M450" s="76" t="s">
        <v>15</v>
      </c>
      <c r="N450" s="76" t="s">
        <v>114</v>
      </c>
      <c r="O450" s="76" t="s">
        <v>15</v>
      </c>
      <c r="P450" s="70"/>
      <c r="Q450" s="77"/>
    </row>
    <row r="451" spans="1:17" ht="2.25" customHeight="1" thickBot="1" x14ac:dyDescent="0.3">
      <c r="A451" s="281"/>
      <c r="B451" s="283"/>
      <c r="C451" s="70"/>
      <c r="D451" s="71"/>
      <c r="E451" s="71"/>
      <c r="F451" s="72"/>
      <c r="G451" s="72"/>
      <c r="H451" s="70" t="s">
        <v>868</v>
      </c>
      <c r="I451" s="73" t="s">
        <v>464</v>
      </c>
      <c r="J451" s="78"/>
      <c r="K451" s="78"/>
      <c r="L451" s="76" t="s">
        <v>555</v>
      </c>
      <c r="M451" s="76" t="s">
        <v>15</v>
      </c>
      <c r="N451" s="76" t="s">
        <v>869</v>
      </c>
      <c r="O451" s="76" t="s">
        <v>15</v>
      </c>
      <c r="P451" s="70"/>
      <c r="Q451" s="77"/>
    </row>
    <row r="452" spans="1:17" ht="94.5" x14ac:dyDescent="0.25">
      <c r="A452" s="280" t="s">
        <v>870</v>
      </c>
      <c r="B452" s="282" t="s">
        <v>871</v>
      </c>
      <c r="C452" s="61"/>
      <c r="D452" s="62">
        <f>SUM(D453:D454)</f>
        <v>289</v>
      </c>
      <c r="E452" s="62">
        <f>SUM(E453:E454)</f>
        <v>256.10000000000002</v>
      </c>
      <c r="F452" s="63">
        <f>SUM(F453:F454)</f>
        <v>32.9</v>
      </c>
      <c r="G452" s="79">
        <f t="shared" ref="G452:G462" si="24">SUM(E452/D452)</f>
        <v>0.88615916955017304</v>
      </c>
      <c r="H452" s="61" t="s">
        <v>872</v>
      </c>
      <c r="I452" s="65" t="s">
        <v>464</v>
      </c>
      <c r="J452" s="66">
        <v>62</v>
      </c>
      <c r="K452" s="89">
        <v>62</v>
      </c>
      <c r="L452" s="68" t="s">
        <v>685</v>
      </c>
      <c r="M452" s="68" t="s">
        <v>15</v>
      </c>
      <c r="N452" s="68" t="s">
        <v>685</v>
      </c>
      <c r="O452" s="68" t="s">
        <v>15</v>
      </c>
      <c r="P452" s="212" t="s">
        <v>873</v>
      </c>
      <c r="Q452" s="227" t="s">
        <v>1864</v>
      </c>
    </row>
    <row r="453" spans="1:17" ht="50.25" customHeight="1" x14ac:dyDescent="0.25">
      <c r="A453" s="284"/>
      <c r="B453" s="324"/>
      <c r="C453" s="70" t="s">
        <v>175</v>
      </c>
      <c r="D453" s="71">
        <v>257</v>
      </c>
      <c r="E453" s="71">
        <v>224.1</v>
      </c>
      <c r="F453" s="72">
        <v>32.9</v>
      </c>
      <c r="G453" s="80">
        <f t="shared" si="24"/>
        <v>0.87198443579766538</v>
      </c>
      <c r="H453" s="246" t="s">
        <v>874</v>
      </c>
      <c r="I453" s="247" t="s">
        <v>464</v>
      </c>
      <c r="J453" s="248">
        <v>32</v>
      </c>
      <c r="K453" s="249">
        <v>32</v>
      </c>
      <c r="L453" s="76" t="s">
        <v>776</v>
      </c>
      <c r="M453" s="76" t="s">
        <v>15</v>
      </c>
      <c r="N453" s="76" t="s">
        <v>776</v>
      </c>
      <c r="O453" s="76" t="s">
        <v>15</v>
      </c>
      <c r="P453" s="213"/>
      <c r="Q453" s="228"/>
    </row>
    <row r="454" spans="1:17" ht="26.25" customHeight="1" thickBot="1" x14ac:dyDescent="0.3">
      <c r="A454" s="281"/>
      <c r="B454" s="283"/>
      <c r="C454" s="70" t="s">
        <v>855</v>
      </c>
      <c r="D454" s="71">
        <v>32</v>
      </c>
      <c r="E454" s="71">
        <v>32</v>
      </c>
      <c r="F454" s="72"/>
      <c r="G454" s="91">
        <f t="shared" si="24"/>
        <v>1</v>
      </c>
      <c r="H454" s="214"/>
      <c r="I454" s="217"/>
      <c r="J454" s="220"/>
      <c r="K454" s="245"/>
      <c r="L454" s="76"/>
      <c r="M454" s="76"/>
      <c r="N454" s="76"/>
      <c r="O454" s="76"/>
      <c r="P454" s="214"/>
      <c r="Q454" s="229"/>
    </row>
    <row r="455" spans="1:17" ht="63.75" thickBot="1" x14ac:dyDescent="0.3">
      <c r="A455" s="93" t="s">
        <v>875</v>
      </c>
      <c r="B455" s="94" t="s">
        <v>876</v>
      </c>
      <c r="C455" s="61" t="s">
        <v>27</v>
      </c>
      <c r="D455" s="95">
        <v>36.9</v>
      </c>
      <c r="E455" s="95">
        <v>28.8</v>
      </c>
      <c r="F455" s="96">
        <v>8.1</v>
      </c>
      <c r="G455" s="79">
        <f t="shared" si="24"/>
        <v>0.78048780487804881</v>
      </c>
      <c r="H455" s="61" t="s">
        <v>877</v>
      </c>
      <c r="I455" s="65" t="s">
        <v>464</v>
      </c>
      <c r="J455" s="66">
        <v>800</v>
      </c>
      <c r="K455" s="145">
        <v>620</v>
      </c>
      <c r="L455" s="68" t="s">
        <v>878</v>
      </c>
      <c r="M455" s="68" t="s">
        <v>15</v>
      </c>
      <c r="N455" s="68" t="s">
        <v>879</v>
      </c>
      <c r="O455" s="68" t="s">
        <v>15</v>
      </c>
      <c r="P455" s="61" t="s">
        <v>880</v>
      </c>
      <c r="Q455" s="69" t="s">
        <v>1693</v>
      </c>
    </row>
    <row r="456" spans="1:17" ht="76.5" customHeight="1" x14ac:dyDescent="0.25">
      <c r="A456" s="280" t="s">
        <v>881</v>
      </c>
      <c r="B456" s="282" t="s">
        <v>882</v>
      </c>
      <c r="C456" s="61"/>
      <c r="D456" s="62">
        <f>SUM(D457:D459)</f>
        <v>653</v>
      </c>
      <c r="E456" s="62">
        <f>SUM(E457:E459)</f>
        <v>653</v>
      </c>
      <c r="F456" s="63"/>
      <c r="G456" s="79">
        <f t="shared" si="24"/>
        <v>1</v>
      </c>
      <c r="H456" s="61" t="s">
        <v>883</v>
      </c>
      <c r="I456" s="65" t="s">
        <v>464</v>
      </c>
      <c r="J456" s="66">
        <v>2</v>
      </c>
      <c r="K456" s="89">
        <v>2</v>
      </c>
      <c r="L456" s="68" t="s">
        <v>42</v>
      </c>
      <c r="M456" s="68" t="s">
        <v>15</v>
      </c>
      <c r="N456" s="68" t="s">
        <v>42</v>
      </c>
      <c r="O456" s="68" t="s">
        <v>15</v>
      </c>
      <c r="P456" s="212"/>
      <c r="Q456" s="227"/>
    </row>
    <row r="457" spans="1:17" ht="54.75" customHeight="1" x14ac:dyDescent="0.25">
      <c r="A457" s="284"/>
      <c r="B457" s="324"/>
      <c r="C457" s="70" t="s">
        <v>175</v>
      </c>
      <c r="D457" s="71">
        <v>9.6</v>
      </c>
      <c r="E457" s="71">
        <v>9.6</v>
      </c>
      <c r="F457" s="72"/>
      <c r="G457" s="80">
        <f t="shared" si="24"/>
        <v>1</v>
      </c>
      <c r="H457" s="246" t="s">
        <v>884</v>
      </c>
      <c r="I457" s="247" t="s">
        <v>464</v>
      </c>
      <c r="J457" s="248">
        <v>1</v>
      </c>
      <c r="K457" s="249">
        <v>1</v>
      </c>
      <c r="L457" s="76" t="s">
        <v>29</v>
      </c>
      <c r="M457" s="76" t="s">
        <v>15</v>
      </c>
      <c r="N457" s="76" t="s">
        <v>29</v>
      </c>
      <c r="O457" s="76" t="s">
        <v>15</v>
      </c>
      <c r="P457" s="213"/>
      <c r="Q457" s="228"/>
    </row>
    <row r="458" spans="1:17" ht="23.25" customHeight="1" x14ac:dyDescent="0.25">
      <c r="A458" s="284"/>
      <c r="B458" s="324"/>
      <c r="C458" s="70" t="s">
        <v>855</v>
      </c>
      <c r="D458" s="71">
        <v>593.9</v>
      </c>
      <c r="E458" s="71">
        <v>593.9</v>
      </c>
      <c r="F458" s="72"/>
      <c r="G458" s="80">
        <f t="shared" si="24"/>
        <v>1</v>
      </c>
      <c r="H458" s="213"/>
      <c r="I458" s="216"/>
      <c r="J458" s="219"/>
      <c r="K458" s="244"/>
      <c r="L458" s="76"/>
      <c r="M458" s="76"/>
      <c r="N458" s="76"/>
      <c r="O458" s="76"/>
      <c r="P458" s="213"/>
      <c r="Q458" s="228"/>
    </row>
    <row r="459" spans="1:17" ht="28.5" customHeight="1" thickBot="1" x14ac:dyDescent="0.3">
      <c r="A459" s="281"/>
      <c r="B459" s="283"/>
      <c r="C459" s="70" t="s">
        <v>27</v>
      </c>
      <c r="D459" s="71">
        <v>49.5</v>
      </c>
      <c r="E459" s="71">
        <v>49.5</v>
      </c>
      <c r="F459" s="72"/>
      <c r="G459" s="91">
        <f t="shared" si="24"/>
        <v>1</v>
      </c>
      <c r="H459" s="214"/>
      <c r="I459" s="217"/>
      <c r="J459" s="220"/>
      <c r="K459" s="245"/>
      <c r="L459" s="76"/>
      <c r="M459" s="76"/>
      <c r="N459" s="76"/>
      <c r="O459" s="76"/>
      <c r="P459" s="214"/>
      <c r="Q459" s="229"/>
    </row>
    <row r="460" spans="1:17" ht="38.25" customHeight="1" x14ac:dyDescent="0.25">
      <c r="A460" s="280" t="s">
        <v>885</v>
      </c>
      <c r="B460" s="282" t="s">
        <v>886</v>
      </c>
      <c r="C460" s="61"/>
      <c r="D460" s="62">
        <f>SUM(D461:D462)</f>
        <v>377.1</v>
      </c>
      <c r="E460" s="62">
        <f>SUM(E461:E462)</f>
        <v>198.5</v>
      </c>
      <c r="F460" s="63">
        <f>SUM(F461:F462)</f>
        <v>178.60000000000002</v>
      </c>
      <c r="G460" s="79">
        <f t="shared" si="24"/>
        <v>0.52638557411827103</v>
      </c>
      <c r="H460" s="212" t="s">
        <v>887</v>
      </c>
      <c r="I460" s="215" t="s">
        <v>464</v>
      </c>
      <c r="J460" s="218">
        <v>6</v>
      </c>
      <c r="K460" s="243">
        <v>6</v>
      </c>
      <c r="L460" s="68"/>
      <c r="M460" s="68"/>
      <c r="N460" s="68"/>
      <c r="O460" s="68"/>
      <c r="P460" s="212" t="s">
        <v>888</v>
      </c>
      <c r="Q460" s="227" t="s">
        <v>1694</v>
      </c>
    </row>
    <row r="461" spans="1:17" ht="15.75" x14ac:dyDescent="0.25">
      <c r="A461" s="284"/>
      <c r="B461" s="324"/>
      <c r="C461" s="70" t="s">
        <v>27</v>
      </c>
      <c r="D461" s="71">
        <v>56.6</v>
      </c>
      <c r="E461" s="71">
        <v>19.8</v>
      </c>
      <c r="F461" s="72">
        <v>36.799999999999997</v>
      </c>
      <c r="G461" s="80">
        <f t="shared" si="24"/>
        <v>0.34982332155477031</v>
      </c>
      <c r="H461" s="213"/>
      <c r="I461" s="216"/>
      <c r="J461" s="219"/>
      <c r="K461" s="244"/>
      <c r="L461" s="76"/>
      <c r="M461" s="76"/>
      <c r="N461" s="76"/>
      <c r="O461" s="76"/>
      <c r="P461" s="213"/>
      <c r="Q461" s="228"/>
    </row>
    <row r="462" spans="1:17" ht="16.5" thickBot="1" x14ac:dyDescent="0.3">
      <c r="A462" s="281"/>
      <c r="B462" s="283"/>
      <c r="C462" s="70" t="s">
        <v>229</v>
      </c>
      <c r="D462" s="71">
        <v>320.5</v>
      </c>
      <c r="E462" s="71">
        <v>178.7</v>
      </c>
      <c r="F462" s="72">
        <v>141.80000000000001</v>
      </c>
      <c r="G462" s="91">
        <f t="shared" si="24"/>
        <v>0.55756630265210605</v>
      </c>
      <c r="H462" s="214"/>
      <c r="I462" s="217"/>
      <c r="J462" s="220"/>
      <c r="K462" s="245"/>
      <c r="L462" s="76"/>
      <c r="M462" s="76"/>
      <c r="N462" s="76"/>
      <c r="O462" s="76"/>
      <c r="P462" s="214"/>
      <c r="Q462" s="229"/>
    </row>
    <row r="463" spans="1:17" ht="0.75" customHeight="1" thickBot="1" x14ac:dyDescent="0.3">
      <c r="A463" s="93" t="s">
        <v>889</v>
      </c>
      <c r="B463" s="94" t="s">
        <v>890</v>
      </c>
      <c r="C463" s="61" t="s">
        <v>204</v>
      </c>
      <c r="D463" s="95"/>
      <c r="E463" s="95"/>
      <c r="F463" s="96"/>
      <c r="G463" s="96"/>
      <c r="H463" s="61"/>
      <c r="I463" s="65"/>
      <c r="J463" s="98"/>
      <c r="K463" s="98"/>
      <c r="L463" s="68"/>
      <c r="M463" s="68"/>
      <c r="N463" s="68"/>
      <c r="O463" s="68"/>
      <c r="P463" s="61"/>
      <c r="Q463" s="69"/>
    </row>
    <row r="464" spans="1:17" ht="81" customHeight="1" x14ac:dyDescent="0.25">
      <c r="A464" s="280" t="s">
        <v>891</v>
      </c>
      <c r="B464" s="282" t="s">
        <v>892</v>
      </c>
      <c r="C464" s="61"/>
      <c r="D464" s="62">
        <f>SUM(D465:D467)</f>
        <v>66.5</v>
      </c>
      <c r="E464" s="62">
        <f>SUM(E465:E467)</f>
        <v>1.3</v>
      </c>
      <c r="F464" s="63">
        <f>SUM(F465:F467)</f>
        <v>65.2</v>
      </c>
      <c r="G464" s="79">
        <f t="shared" ref="G464:G494" si="25">SUM(E464/D464)</f>
        <v>1.9548872180451128E-2</v>
      </c>
      <c r="H464" s="212" t="s">
        <v>893</v>
      </c>
      <c r="I464" s="215" t="s">
        <v>464</v>
      </c>
      <c r="J464" s="218">
        <v>30</v>
      </c>
      <c r="K464" s="297">
        <v>0</v>
      </c>
      <c r="L464" s="68" t="s">
        <v>814</v>
      </c>
      <c r="M464" s="68" t="s">
        <v>15</v>
      </c>
      <c r="N464" s="68"/>
      <c r="O464" s="68"/>
      <c r="P464" s="333"/>
      <c r="Q464" s="227" t="s">
        <v>1695</v>
      </c>
    </row>
    <row r="465" spans="1:17" ht="15.75" x14ac:dyDescent="0.25">
      <c r="A465" s="284"/>
      <c r="B465" s="324"/>
      <c r="C465" s="70" t="s">
        <v>229</v>
      </c>
      <c r="D465" s="71">
        <v>34.1</v>
      </c>
      <c r="E465" s="71"/>
      <c r="F465" s="72">
        <v>34.1</v>
      </c>
      <c r="G465" s="80">
        <f t="shared" si="25"/>
        <v>0</v>
      </c>
      <c r="H465" s="213"/>
      <c r="I465" s="216"/>
      <c r="J465" s="219"/>
      <c r="K465" s="298"/>
      <c r="L465" s="76"/>
      <c r="M465" s="76"/>
      <c r="N465" s="76"/>
      <c r="O465" s="76"/>
      <c r="P465" s="334"/>
      <c r="Q465" s="228"/>
    </row>
    <row r="466" spans="1:17" ht="21.75" customHeight="1" x14ac:dyDescent="0.25">
      <c r="A466" s="284"/>
      <c r="B466" s="324"/>
      <c r="C466" s="70" t="s">
        <v>27</v>
      </c>
      <c r="D466" s="71">
        <v>10</v>
      </c>
      <c r="E466" s="71"/>
      <c r="F466" s="72">
        <v>10</v>
      </c>
      <c r="G466" s="80">
        <f t="shared" si="25"/>
        <v>0</v>
      </c>
      <c r="H466" s="213"/>
      <c r="I466" s="216"/>
      <c r="J466" s="219"/>
      <c r="K466" s="298"/>
      <c r="L466" s="76"/>
      <c r="M466" s="76"/>
      <c r="N466" s="76"/>
      <c r="O466" s="76"/>
      <c r="P466" s="334"/>
      <c r="Q466" s="228"/>
    </row>
    <row r="467" spans="1:17" ht="33.75" customHeight="1" thickBot="1" x14ac:dyDescent="0.3">
      <c r="A467" s="281"/>
      <c r="B467" s="283"/>
      <c r="C467" s="70" t="s">
        <v>37</v>
      </c>
      <c r="D467" s="71">
        <v>22.4</v>
      </c>
      <c r="E467" s="71">
        <v>1.3</v>
      </c>
      <c r="F467" s="72">
        <v>21.1</v>
      </c>
      <c r="G467" s="91">
        <f t="shared" si="25"/>
        <v>5.8035714285714295E-2</v>
      </c>
      <c r="H467" s="214"/>
      <c r="I467" s="217"/>
      <c r="J467" s="220"/>
      <c r="K467" s="299"/>
      <c r="L467" s="76"/>
      <c r="M467" s="76"/>
      <c r="N467" s="76"/>
      <c r="O467" s="76"/>
      <c r="P467" s="335"/>
      <c r="Q467" s="229"/>
    </row>
    <row r="468" spans="1:17" ht="95.25" thickBot="1" x14ac:dyDescent="0.3">
      <c r="A468" s="45" t="s">
        <v>894</v>
      </c>
      <c r="B468" s="46" t="s">
        <v>895</v>
      </c>
      <c r="C468" s="47"/>
      <c r="D468" s="48">
        <f>SUM(D469:D469)</f>
        <v>21369.8</v>
      </c>
      <c r="E468" s="48">
        <f>SUM(E469:E469)</f>
        <v>20667.599999999999</v>
      </c>
      <c r="F468" s="48">
        <f>SUM(F469:F469)</f>
        <v>702.2</v>
      </c>
      <c r="G468" s="49">
        <f t="shared" si="25"/>
        <v>0.96714054413237371</v>
      </c>
      <c r="H468" s="47" t="s">
        <v>896</v>
      </c>
      <c r="I468" s="50" t="s">
        <v>464</v>
      </c>
      <c r="J468" s="51">
        <v>30</v>
      </c>
      <c r="K468" s="51">
        <v>28</v>
      </c>
      <c r="L468" s="52" t="s">
        <v>171</v>
      </c>
      <c r="M468" s="52" t="s">
        <v>15</v>
      </c>
      <c r="N468" s="52" t="s">
        <v>171</v>
      </c>
      <c r="O468" s="52" t="s">
        <v>15</v>
      </c>
      <c r="P468" s="230"/>
      <c r="Q468" s="231"/>
    </row>
    <row r="469" spans="1:17" ht="48" thickBot="1" x14ac:dyDescent="0.3">
      <c r="A469" s="53" t="s">
        <v>898</v>
      </c>
      <c r="B469" s="54" t="s">
        <v>899</v>
      </c>
      <c r="C469" s="55"/>
      <c r="D469" s="56">
        <f>D470+D479</f>
        <v>21369.8</v>
      </c>
      <c r="E469" s="56">
        <f>E470+E479</f>
        <v>20667.599999999999</v>
      </c>
      <c r="F469" s="56">
        <f>F470+F479</f>
        <v>702.2</v>
      </c>
      <c r="G469" s="57">
        <f t="shared" si="25"/>
        <v>0.96714054413237371</v>
      </c>
      <c r="H469" s="55"/>
      <c r="I469" s="58"/>
      <c r="J469" s="59"/>
      <c r="K469" s="59"/>
      <c r="L469" s="60"/>
      <c r="M469" s="60"/>
      <c r="N469" s="60"/>
      <c r="O469" s="60"/>
      <c r="P469" s="210"/>
      <c r="Q469" s="211"/>
    </row>
    <row r="470" spans="1:17" ht="80.25" customHeight="1" x14ac:dyDescent="0.25">
      <c r="A470" s="280" t="s">
        <v>900</v>
      </c>
      <c r="B470" s="282" t="s">
        <v>901</v>
      </c>
      <c r="C470" s="61"/>
      <c r="D470" s="62">
        <f>SUM(D471:D478)-0.1</f>
        <v>20731.2</v>
      </c>
      <c r="E470" s="62">
        <f>SUM(E471:E478)-0.1</f>
        <v>20029</v>
      </c>
      <c r="F470" s="63">
        <f>SUM(F471:F478)</f>
        <v>702.2</v>
      </c>
      <c r="G470" s="79">
        <f t="shared" si="25"/>
        <v>0.96612834761132971</v>
      </c>
      <c r="H470" s="61" t="s">
        <v>896</v>
      </c>
      <c r="I470" s="65" t="s">
        <v>464</v>
      </c>
      <c r="J470" s="66">
        <v>30</v>
      </c>
      <c r="K470" s="145">
        <v>28</v>
      </c>
      <c r="L470" s="68" t="s">
        <v>171</v>
      </c>
      <c r="M470" s="68" t="s">
        <v>15</v>
      </c>
      <c r="N470" s="68" t="s">
        <v>171</v>
      </c>
      <c r="O470" s="68" t="s">
        <v>15</v>
      </c>
      <c r="P470" s="212" t="s">
        <v>902</v>
      </c>
      <c r="Q470" s="262" t="s">
        <v>1865</v>
      </c>
    </row>
    <row r="471" spans="1:17" ht="69.75" customHeight="1" x14ac:dyDescent="0.25">
      <c r="A471" s="284"/>
      <c r="B471" s="324"/>
      <c r="C471" s="70" t="s">
        <v>169</v>
      </c>
      <c r="D471" s="71">
        <v>2101.5</v>
      </c>
      <c r="E471" s="71">
        <v>1719.6</v>
      </c>
      <c r="F471" s="72">
        <v>381.9</v>
      </c>
      <c r="G471" s="80">
        <f t="shared" si="25"/>
        <v>0.81827266238401142</v>
      </c>
      <c r="H471" s="70" t="s">
        <v>903</v>
      </c>
      <c r="I471" s="73" t="s">
        <v>464</v>
      </c>
      <c r="J471" s="114">
        <v>4300</v>
      </c>
      <c r="K471" s="117">
        <v>4188</v>
      </c>
      <c r="L471" s="76" t="s">
        <v>904</v>
      </c>
      <c r="M471" s="76" t="s">
        <v>15</v>
      </c>
      <c r="N471" s="76" t="s">
        <v>904</v>
      </c>
      <c r="O471" s="76" t="s">
        <v>15</v>
      </c>
      <c r="P471" s="213"/>
      <c r="Q471" s="264"/>
    </row>
    <row r="472" spans="1:17" ht="100.5" customHeight="1" x14ac:dyDescent="0.25">
      <c r="A472" s="284"/>
      <c r="B472" s="324"/>
      <c r="C472" s="70" t="s">
        <v>855</v>
      </c>
      <c r="D472" s="71">
        <v>8682.5</v>
      </c>
      <c r="E472" s="71">
        <v>8679.9</v>
      </c>
      <c r="F472" s="72">
        <v>2.6</v>
      </c>
      <c r="G472" s="80">
        <f t="shared" si="25"/>
        <v>0.99970054707745459</v>
      </c>
      <c r="H472" s="70" t="s">
        <v>905</v>
      </c>
      <c r="I472" s="73" t="s">
        <v>464</v>
      </c>
      <c r="J472" s="74">
        <v>470</v>
      </c>
      <c r="K472" s="111">
        <v>583</v>
      </c>
      <c r="L472" s="76" t="s">
        <v>338</v>
      </c>
      <c r="M472" s="76" t="s">
        <v>15</v>
      </c>
      <c r="N472" s="76" t="s">
        <v>906</v>
      </c>
      <c r="O472" s="76" t="s">
        <v>15</v>
      </c>
      <c r="P472" s="213"/>
      <c r="Q472" s="264"/>
    </row>
    <row r="473" spans="1:17" ht="63" x14ac:dyDescent="0.25">
      <c r="A473" s="284"/>
      <c r="B473" s="324"/>
      <c r="C473" s="70" t="s">
        <v>165</v>
      </c>
      <c r="D473" s="71">
        <v>106.7</v>
      </c>
      <c r="E473" s="71">
        <v>58.1</v>
      </c>
      <c r="F473" s="72">
        <v>48.6</v>
      </c>
      <c r="G473" s="80">
        <f t="shared" si="25"/>
        <v>0.54451733833177129</v>
      </c>
      <c r="H473" s="70" t="s">
        <v>907</v>
      </c>
      <c r="I473" s="73" t="s">
        <v>464</v>
      </c>
      <c r="J473" s="74">
        <v>730</v>
      </c>
      <c r="K473" s="110">
        <v>690</v>
      </c>
      <c r="L473" s="76" t="s">
        <v>680</v>
      </c>
      <c r="M473" s="76" t="s">
        <v>15</v>
      </c>
      <c r="N473" s="76" t="s">
        <v>908</v>
      </c>
      <c r="O473" s="76" t="s">
        <v>15</v>
      </c>
      <c r="P473" s="213"/>
      <c r="Q473" s="264"/>
    </row>
    <row r="474" spans="1:17" ht="75.75" customHeight="1" x14ac:dyDescent="0.25">
      <c r="A474" s="284"/>
      <c r="B474" s="324"/>
      <c r="C474" s="70" t="s">
        <v>37</v>
      </c>
      <c r="D474" s="71">
        <v>196.5</v>
      </c>
      <c r="E474" s="71">
        <v>187.7</v>
      </c>
      <c r="F474" s="72">
        <v>8.8000000000000007</v>
      </c>
      <c r="G474" s="80">
        <f t="shared" si="25"/>
        <v>0.95521628498727729</v>
      </c>
      <c r="H474" s="246" t="s">
        <v>909</v>
      </c>
      <c r="I474" s="247" t="s">
        <v>464</v>
      </c>
      <c r="J474" s="248">
        <v>310</v>
      </c>
      <c r="K474" s="305">
        <v>352</v>
      </c>
      <c r="L474" s="76" t="s">
        <v>189</v>
      </c>
      <c r="M474" s="76" t="s">
        <v>15</v>
      </c>
      <c r="N474" s="76" t="s">
        <v>189</v>
      </c>
      <c r="O474" s="76" t="s">
        <v>15</v>
      </c>
      <c r="P474" s="213"/>
      <c r="Q474" s="264"/>
    </row>
    <row r="475" spans="1:17" ht="15.75" x14ac:dyDescent="0.25">
      <c r="A475" s="284"/>
      <c r="B475" s="324"/>
      <c r="C475" s="70" t="s">
        <v>27</v>
      </c>
      <c r="D475" s="71">
        <v>9225.2000000000007</v>
      </c>
      <c r="E475" s="71">
        <v>9205.2000000000007</v>
      </c>
      <c r="F475" s="72">
        <v>20</v>
      </c>
      <c r="G475" s="80">
        <f t="shared" si="25"/>
        <v>0.99783202532194426</v>
      </c>
      <c r="H475" s="213"/>
      <c r="I475" s="216"/>
      <c r="J475" s="219"/>
      <c r="K475" s="301"/>
      <c r="L475" s="76"/>
      <c r="M475" s="76"/>
      <c r="N475" s="76"/>
      <c r="O475" s="76"/>
      <c r="P475" s="213"/>
      <c r="Q475" s="264"/>
    </row>
    <row r="476" spans="1:17" ht="15.75" x14ac:dyDescent="0.25">
      <c r="A476" s="284"/>
      <c r="B476" s="324"/>
      <c r="C476" s="70" t="s">
        <v>175</v>
      </c>
      <c r="D476" s="71">
        <v>22.3</v>
      </c>
      <c r="E476" s="71">
        <v>22.3</v>
      </c>
      <c r="F476" s="72"/>
      <c r="G476" s="80">
        <f t="shared" si="25"/>
        <v>1</v>
      </c>
      <c r="H476" s="213"/>
      <c r="I476" s="216"/>
      <c r="J476" s="219"/>
      <c r="K476" s="301"/>
      <c r="L476" s="76"/>
      <c r="M476" s="76"/>
      <c r="N476" s="76"/>
      <c r="O476" s="76"/>
      <c r="P476" s="213"/>
      <c r="Q476" s="264"/>
    </row>
    <row r="477" spans="1:17" ht="15.75" x14ac:dyDescent="0.25">
      <c r="A477" s="284"/>
      <c r="B477" s="324"/>
      <c r="C477" s="70" t="s">
        <v>204</v>
      </c>
      <c r="D477" s="71">
        <v>240.6</v>
      </c>
      <c r="E477" s="71">
        <v>97.8</v>
      </c>
      <c r="F477" s="72">
        <v>142.80000000000001</v>
      </c>
      <c r="G477" s="80">
        <f t="shared" si="25"/>
        <v>0.40648379052369077</v>
      </c>
      <c r="H477" s="213"/>
      <c r="I477" s="216"/>
      <c r="J477" s="219"/>
      <c r="K477" s="301"/>
      <c r="L477" s="76"/>
      <c r="M477" s="76"/>
      <c r="N477" s="76"/>
      <c r="O477" s="76"/>
      <c r="P477" s="213"/>
      <c r="Q477" s="264"/>
    </row>
    <row r="478" spans="1:17" ht="30.75" customHeight="1" thickBot="1" x14ac:dyDescent="0.3">
      <c r="A478" s="281"/>
      <c r="B478" s="283"/>
      <c r="C478" s="70" t="s">
        <v>160</v>
      </c>
      <c r="D478" s="71">
        <v>156</v>
      </c>
      <c r="E478" s="71">
        <v>58.5</v>
      </c>
      <c r="F478" s="72">
        <v>97.5</v>
      </c>
      <c r="G478" s="91">
        <f t="shared" si="25"/>
        <v>0.375</v>
      </c>
      <c r="H478" s="214"/>
      <c r="I478" s="217"/>
      <c r="J478" s="220"/>
      <c r="K478" s="242"/>
      <c r="L478" s="76"/>
      <c r="M478" s="76"/>
      <c r="N478" s="76"/>
      <c r="O478" s="76"/>
      <c r="P478" s="214"/>
      <c r="Q478" s="263"/>
    </row>
    <row r="479" spans="1:17" ht="95.25" thickBot="1" x14ac:dyDescent="0.3">
      <c r="A479" s="93" t="s">
        <v>910</v>
      </c>
      <c r="B479" s="94" t="s">
        <v>911</v>
      </c>
      <c r="C479" s="61" t="s">
        <v>855</v>
      </c>
      <c r="D479" s="95">
        <v>638.6</v>
      </c>
      <c r="E479" s="95">
        <v>638.6</v>
      </c>
      <c r="F479" s="96">
        <v>0</v>
      </c>
      <c r="G479" s="79">
        <f t="shared" si="25"/>
        <v>1</v>
      </c>
      <c r="H479" s="61" t="s">
        <v>912</v>
      </c>
      <c r="I479" s="65" t="s">
        <v>464</v>
      </c>
      <c r="J479" s="66">
        <v>5</v>
      </c>
      <c r="K479" s="148">
        <v>5</v>
      </c>
      <c r="L479" s="68" t="s">
        <v>58</v>
      </c>
      <c r="M479" s="68" t="s">
        <v>15</v>
      </c>
      <c r="N479" s="68" t="s">
        <v>58</v>
      </c>
      <c r="O479" s="68" t="s">
        <v>15</v>
      </c>
      <c r="P479" s="61"/>
      <c r="Q479" s="69"/>
    </row>
    <row r="480" spans="1:17" ht="117.75" customHeight="1" thickBot="1" x14ac:dyDescent="0.3">
      <c r="A480" s="45" t="s">
        <v>913</v>
      </c>
      <c r="B480" s="46" t="s">
        <v>914</v>
      </c>
      <c r="C480" s="47"/>
      <c r="D480" s="48">
        <f>SUM(D481:D481)</f>
        <v>5358.2000000000007</v>
      </c>
      <c r="E480" s="48">
        <f>SUM(E481:E481)</f>
        <v>4934.3999999999996</v>
      </c>
      <c r="F480" s="48">
        <f>SUM(F481:F481)</f>
        <v>423.79999999999995</v>
      </c>
      <c r="G480" s="49">
        <f t="shared" si="25"/>
        <v>0.92090627449516604</v>
      </c>
      <c r="H480" s="47" t="s">
        <v>915</v>
      </c>
      <c r="I480" s="50" t="s">
        <v>464</v>
      </c>
      <c r="J480" s="51">
        <v>8</v>
      </c>
      <c r="K480" s="51">
        <v>8</v>
      </c>
      <c r="L480" s="52" t="s">
        <v>110</v>
      </c>
      <c r="M480" s="52" t="s">
        <v>15</v>
      </c>
      <c r="N480" s="52" t="s">
        <v>110</v>
      </c>
      <c r="O480" s="52" t="s">
        <v>15</v>
      </c>
      <c r="P480" s="230"/>
      <c r="Q480" s="231"/>
    </row>
    <row r="481" spans="1:17" ht="48" thickBot="1" x14ac:dyDescent="0.3">
      <c r="A481" s="53" t="s">
        <v>916</v>
      </c>
      <c r="B481" s="54" t="s">
        <v>917</v>
      </c>
      <c r="C481" s="55"/>
      <c r="D481" s="56">
        <f>D482+D491</f>
        <v>5358.2000000000007</v>
      </c>
      <c r="E481" s="56">
        <f>E482+E491</f>
        <v>4934.3999999999996</v>
      </c>
      <c r="F481" s="56">
        <f>F482+F491</f>
        <v>423.79999999999995</v>
      </c>
      <c r="G481" s="57">
        <f t="shared" si="25"/>
        <v>0.92090627449516604</v>
      </c>
      <c r="H481" s="55"/>
      <c r="I481" s="58"/>
      <c r="J481" s="59"/>
      <c r="K481" s="59"/>
      <c r="L481" s="60"/>
      <c r="M481" s="60"/>
      <c r="N481" s="60"/>
      <c r="O481" s="60"/>
      <c r="P481" s="210"/>
      <c r="Q481" s="211"/>
    </row>
    <row r="482" spans="1:17" ht="65.25" customHeight="1" x14ac:dyDescent="0.25">
      <c r="A482" s="280" t="s">
        <v>918</v>
      </c>
      <c r="B482" s="282" t="s">
        <v>919</v>
      </c>
      <c r="C482" s="61"/>
      <c r="D482" s="62">
        <f>SUM(D483:D490)</f>
        <v>4985.1000000000004</v>
      </c>
      <c r="E482" s="62">
        <f>SUM(E483:E490)</f>
        <v>4562.5</v>
      </c>
      <c r="F482" s="63">
        <f>SUM(F483:F490)</f>
        <v>422.59999999999997</v>
      </c>
      <c r="G482" s="79">
        <f t="shared" si="25"/>
        <v>0.91522737758520389</v>
      </c>
      <c r="H482" s="61" t="s">
        <v>915</v>
      </c>
      <c r="I482" s="65" t="s">
        <v>464</v>
      </c>
      <c r="J482" s="66">
        <v>10</v>
      </c>
      <c r="K482" s="89">
        <v>10</v>
      </c>
      <c r="L482" s="68" t="s">
        <v>114</v>
      </c>
      <c r="M482" s="68" t="s">
        <v>15</v>
      </c>
      <c r="N482" s="68" t="s">
        <v>114</v>
      </c>
      <c r="O482" s="68" t="s">
        <v>15</v>
      </c>
      <c r="P482" s="212" t="s">
        <v>920</v>
      </c>
      <c r="Q482" s="227" t="s">
        <v>1806</v>
      </c>
    </row>
    <row r="483" spans="1:17" ht="63" x14ac:dyDescent="0.25">
      <c r="A483" s="284"/>
      <c r="B483" s="324"/>
      <c r="C483" s="70" t="s">
        <v>27</v>
      </c>
      <c r="D483" s="71">
        <v>3668.6</v>
      </c>
      <c r="E483" s="71">
        <v>3661</v>
      </c>
      <c r="F483" s="72">
        <v>7.6</v>
      </c>
      <c r="G483" s="80">
        <f t="shared" si="25"/>
        <v>0.99792836504388593</v>
      </c>
      <c r="H483" s="70" t="s">
        <v>921</v>
      </c>
      <c r="I483" s="73" t="s">
        <v>464</v>
      </c>
      <c r="J483" s="114">
        <v>4453</v>
      </c>
      <c r="K483" s="117">
        <v>4347</v>
      </c>
      <c r="L483" s="76" t="s">
        <v>922</v>
      </c>
      <c r="M483" s="76" t="s">
        <v>15</v>
      </c>
      <c r="N483" s="76" t="s">
        <v>922</v>
      </c>
      <c r="O483" s="76" t="s">
        <v>15</v>
      </c>
      <c r="P483" s="213"/>
      <c r="Q483" s="228"/>
    </row>
    <row r="484" spans="1:17" ht="63" x14ac:dyDescent="0.25">
      <c r="A484" s="284"/>
      <c r="B484" s="324"/>
      <c r="C484" s="70" t="s">
        <v>169</v>
      </c>
      <c r="D484" s="71">
        <v>353.9</v>
      </c>
      <c r="E484" s="71">
        <v>239.1</v>
      </c>
      <c r="F484" s="72">
        <v>114.8</v>
      </c>
      <c r="G484" s="80">
        <f t="shared" si="25"/>
        <v>0.67561458038994071</v>
      </c>
      <c r="H484" s="70" t="s">
        <v>923</v>
      </c>
      <c r="I484" s="73" t="s">
        <v>464</v>
      </c>
      <c r="J484" s="74">
        <v>35</v>
      </c>
      <c r="K484" s="111">
        <v>43</v>
      </c>
      <c r="L484" s="76" t="s">
        <v>227</v>
      </c>
      <c r="M484" s="76" t="s">
        <v>15</v>
      </c>
      <c r="N484" s="76" t="s">
        <v>147</v>
      </c>
      <c r="O484" s="76" t="s">
        <v>15</v>
      </c>
      <c r="P484" s="213"/>
      <c r="Q484" s="228"/>
    </row>
    <row r="485" spans="1:17" ht="126" x14ac:dyDescent="0.25">
      <c r="A485" s="284"/>
      <c r="B485" s="324"/>
      <c r="C485" s="70" t="s">
        <v>165</v>
      </c>
      <c r="D485" s="71">
        <v>146.30000000000001</v>
      </c>
      <c r="E485" s="71">
        <v>31.9</v>
      </c>
      <c r="F485" s="72">
        <v>114.4</v>
      </c>
      <c r="G485" s="80">
        <f t="shared" si="25"/>
        <v>0.21804511278195485</v>
      </c>
      <c r="H485" s="70" t="s">
        <v>813</v>
      </c>
      <c r="I485" s="73" t="s">
        <v>464</v>
      </c>
      <c r="J485" s="114">
        <v>2000</v>
      </c>
      <c r="K485" s="171">
        <v>2000</v>
      </c>
      <c r="L485" s="76" t="s">
        <v>925</v>
      </c>
      <c r="M485" s="76" t="s">
        <v>15</v>
      </c>
      <c r="N485" s="76" t="s">
        <v>925</v>
      </c>
      <c r="O485" s="76" t="s">
        <v>15</v>
      </c>
      <c r="P485" s="213"/>
      <c r="Q485" s="228"/>
    </row>
    <row r="486" spans="1:17" ht="63" x14ac:dyDescent="0.25">
      <c r="A486" s="284"/>
      <c r="B486" s="324"/>
      <c r="C486" s="70" t="s">
        <v>37</v>
      </c>
      <c r="D486" s="71">
        <v>78.7</v>
      </c>
      <c r="E486" s="71">
        <v>68.599999999999994</v>
      </c>
      <c r="F486" s="72">
        <v>10.1</v>
      </c>
      <c r="G486" s="80">
        <f t="shared" si="25"/>
        <v>0.87166454891994904</v>
      </c>
      <c r="H486" s="70" t="s">
        <v>926</v>
      </c>
      <c r="I486" s="73" t="s">
        <v>464</v>
      </c>
      <c r="J486" s="74">
        <v>40</v>
      </c>
      <c r="K486" s="111">
        <v>62</v>
      </c>
      <c r="L486" s="76" t="s">
        <v>147</v>
      </c>
      <c r="M486" s="76" t="s">
        <v>15</v>
      </c>
      <c r="N486" s="76" t="s">
        <v>147</v>
      </c>
      <c r="O486" s="76" t="s">
        <v>15</v>
      </c>
      <c r="P486" s="213"/>
      <c r="Q486" s="228"/>
    </row>
    <row r="487" spans="1:17" ht="63" x14ac:dyDescent="0.25">
      <c r="A487" s="284"/>
      <c r="B487" s="324"/>
      <c r="C487" s="70" t="s">
        <v>855</v>
      </c>
      <c r="D487" s="71">
        <v>267.10000000000002</v>
      </c>
      <c r="E487" s="71">
        <v>267</v>
      </c>
      <c r="F487" s="72">
        <v>0.1</v>
      </c>
      <c r="G487" s="80">
        <f t="shared" si="25"/>
        <v>0.99962560838637204</v>
      </c>
      <c r="H487" s="70" t="s">
        <v>927</v>
      </c>
      <c r="I487" s="73" t="s">
        <v>464</v>
      </c>
      <c r="J487" s="74">
        <v>100</v>
      </c>
      <c r="K487" s="81">
        <v>100</v>
      </c>
      <c r="L487" s="76" t="s">
        <v>54</v>
      </c>
      <c r="M487" s="76" t="s">
        <v>15</v>
      </c>
      <c r="N487" s="76" t="s">
        <v>54</v>
      </c>
      <c r="O487" s="76" t="s">
        <v>15</v>
      </c>
      <c r="P487" s="213"/>
      <c r="Q487" s="228"/>
    </row>
    <row r="488" spans="1:17" ht="63" x14ac:dyDescent="0.25">
      <c r="A488" s="284"/>
      <c r="B488" s="324"/>
      <c r="C488" s="70" t="s">
        <v>175</v>
      </c>
      <c r="D488" s="71">
        <v>417.3</v>
      </c>
      <c r="E488" s="71">
        <v>270.89999999999998</v>
      </c>
      <c r="F488" s="72">
        <v>146.4</v>
      </c>
      <c r="G488" s="80">
        <f t="shared" si="25"/>
        <v>0.64917325664989212</v>
      </c>
      <c r="H488" s="246" t="s">
        <v>928</v>
      </c>
      <c r="I488" s="247" t="s">
        <v>464</v>
      </c>
      <c r="J488" s="287">
        <v>1097</v>
      </c>
      <c r="K488" s="330">
        <v>1097</v>
      </c>
      <c r="L488" s="76" t="s">
        <v>929</v>
      </c>
      <c r="M488" s="76" t="s">
        <v>15</v>
      </c>
      <c r="N488" s="76" t="s">
        <v>929</v>
      </c>
      <c r="O488" s="76" t="s">
        <v>15</v>
      </c>
      <c r="P488" s="213"/>
      <c r="Q488" s="228"/>
    </row>
    <row r="489" spans="1:17" ht="15.75" x14ac:dyDescent="0.25">
      <c r="A489" s="284"/>
      <c r="B489" s="324"/>
      <c r="C489" s="70" t="s">
        <v>204</v>
      </c>
      <c r="D489" s="71">
        <v>30.5</v>
      </c>
      <c r="E489" s="71">
        <v>12.3</v>
      </c>
      <c r="F489" s="72">
        <v>18.2</v>
      </c>
      <c r="G489" s="80">
        <f t="shared" si="25"/>
        <v>0.4032786885245902</v>
      </c>
      <c r="H489" s="213"/>
      <c r="I489" s="216"/>
      <c r="J489" s="288"/>
      <c r="K489" s="331"/>
      <c r="L489" s="76"/>
      <c r="M489" s="76"/>
      <c r="N489" s="76"/>
      <c r="O489" s="76"/>
      <c r="P489" s="213"/>
      <c r="Q489" s="228"/>
    </row>
    <row r="490" spans="1:17" ht="16.5" thickBot="1" x14ac:dyDescent="0.3">
      <c r="A490" s="281"/>
      <c r="B490" s="283"/>
      <c r="C490" s="70" t="s">
        <v>160</v>
      </c>
      <c r="D490" s="71">
        <v>22.7</v>
      </c>
      <c r="E490" s="71">
        <v>11.7</v>
      </c>
      <c r="F490" s="72">
        <v>11</v>
      </c>
      <c r="G490" s="91">
        <f t="shared" si="25"/>
        <v>0.51541850220264318</v>
      </c>
      <c r="H490" s="214"/>
      <c r="I490" s="217"/>
      <c r="J490" s="289"/>
      <c r="K490" s="332"/>
      <c r="L490" s="76"/>
      <c r="M490" s="76"/>
      <c r="N490" s="76"/>
      <c r="O490" s="76"/>
      <c r="P490" s="214"/>
      <c r="Q490" s="229"/>
    </row>
    <row r="491" spans="1:17" ht="75" customHeight="1" x14ac:dyDescent="0.25">
      <c r="A491" s="280" t="s">
        <v>930</v>
      </c>
      <c r="B491" s="282" t="s">
        <v>931</v>
      </c>
      <c r="C491" s="61"/>
      <c r="D491" s="62">
        <f>SUM(D492:D493)</f>
        <v>373.1</v>
      </c>
      <c r="E491" s="62">
        <f>SUM(E492:E493)</f>
        <v>371.9</v>
      </c>
      <c r="F491" s="63">
        <f>SUM(F492:F493)</f>
        <v>1.2</v>
      </c>
      <c r="G491" s="79">
        <f t="shared" si="25"/>
        <v>0.9967837041007771</v>
      </c>
      <c r="H491" s="212" t="s">
        <v>932</v>
      </c>
      <c r="I491" s="215" t="s">
        <v>464</v>
      </c>
      <c r="J491" s="328">
        <v>1500</v>
      </c>
      <c r="K491" s="329">
        <v>1239</v>
      </c>
      <c r="L491" s="68" t="s">
        <v>687</v>
      </c>
      <c r="M491" s="68" t="s">
        <v>15</v>
      </c>
      <c r="N491" s="68" t="s">
        <v>687</v>
      </c>
      <c r="O491" s="68" t="s">
        <v>15</v>
      </c>
      <c r="P491" s="212" t="s">
        <v>933</v>
      </c>
      <c r="Q491" s="227"/>
    </row>
    <row r="492" spans="1:17" ht="15.75" x14ac:dyDescent="0.25">
      <c r="A492" s="284"/>
      <c r="B492" s="324"/>
      <c r="C492" s="70" t="s">
        <v>175</v>
      </c>
      <c r="D492" s="71">
        <v>286.10000000000002</v>
      </c>
      <c r="E492" s="71">
        <v>285.89999999999998</v>
      </c>
      <c r="F492" s="72">
        <v>0.2</v>
      </c>
      <c r="G492" s="80">
        <f t="shared" si="25"/>
        <v>0.99930094372596978</v>
      </c>
      <c r="H492" s="213"/>
      <c r="I492" s="216"/>
      <c r="J492" s="288"/>
      <c r="K492" s="291"/>
      <c r="L492" s="76"/>
      <c r="M492" s="76"/>
      <c r="N492" s="76"/>
      <c r="O492" s="76"/>
      <c r="P492" s="213"/>
      <c r="Q492" s="228"/>
    </row>
    <row r="493" spans="1:17" ht="16.5" thickBot="1" x14ac:dyDescent="0.3">
      <c r="A493" s="281"/>
      <c r="B493" s="283"/>
      <c r="C493" s="70" t="s">
        <v>27</v>
      </c>
      <c r="D493" s="71">
        <v>87</v>
      </c>
      <c r="E493" s="71">
        <v>86</v>
      </c>
      <c r="F493" s="72">
        <v>1</v>
      </c>
      <c r="G493" s="91">
        <f t="shared" si="25"/>
        <v>0.9885057471264368</v>
      </c>
      <c r="H493" s="214"/>
      <c r="I493" s="217"/>
      <c r="J493" s="289"/>
      <c r="K493" s="292"/>
      <c r="L493" s="76"/>
      <c r="M493" s="76"/>
      <c r="N493" s="76"/>
      <c r="O493" s="76"/>
      <c r="P493" s="214"/>
      <c r="Q493" s="229"/>
    </row>
    <row r="494" spans="1:17" ht="63.75" thickBot="1" x14ac:dyDescent="0.3">
      <c r="A494" s="45" t="s">
        <v>934</v>
      </c>
      <c r="B494" s="46" t="s">
        <v>935</v>
      </c>
      <c r="C494" s="47"/>
      <c r="D494" s="48">
        <f>D495+D497</f>
        <v>3194.1000000000004</v>
      </c>
      <c r="E494" s="48">
        <f>E495+E497</f>
        <v>2835.3999999999992</v>
      </c>
      <c r="F494" s="48">
        <f>F495+F497</f>
        <v>358.7</v>
      </c>
      <c r="G494" s="49">
        <f t="shared" si="25"/>
        <v>0.88769919539150277</v>
      </c>
      <c r="H494" s="47" t="s">
        <v>936</v>
      </c>
      <c r="I494" s="50" t="s">
        <v>464</v>
      </c>
      <c r="J494" s="51">
        <v>2</v>
      </c>
      <c r="K494" s="51">
        <v>2</v>
      </c>
      <c r="L494" s="52" t="s">
        <v>42</v>
      </c>
      <c r="M494" s="52" t="s">
        <v>15</v>
      </c>
      <c r="N494" s="52" t="s">
        <v>42</v>
      </c>
      <c r="O494" s="52" t="s">
        <v>15</v>
      </c>
      <c r="P494" s="230"/>
      <c r="Q494" s="231"/>
    </row>
    <row r="495" spans="1:17" ht="0.75" customHeight="1" thickBot="1" x14ac:dyDescent="0.3">
      <c r="A495" s="53" t="s">
        <v>937</v>
      </c>
      <c r="B495" s="54" t="s">
        <v>938</v>
      </c>
      <c r="C495" s="55"/>
      <c r="D495" s="56"/>
      <c r="E495" s="56"/>
      <c r="F495" s="56"/>
      <c r="G495" s="57"/>
      <c r="H495" s="55"/>
      <c r="I495" s="58"/>
      <c r="J495" s="59"/>
      <c r="K495" s="59"/>
      <c r="L495" s="60"/>
      <c r="M495" s="60"/>
      <c r="N495" s="60"/>
      <c r="O495" s="60"/>
      <c r="P495" s="55"/>
      <c r="Q495" s="119"/>
    </row>
    <row r="496" spans="1:17" ht="79.5" hidden="1" thickBot="1" x14ac:dyDescent="0.3">
      <c r="A496" s="93" t="s">
        <v>939</v>
      </c>
      <c r="B496" s="94" t="s">
        <v>940</v>
      </c>
      <c r="C496" s="61" t="s">
        <v>27</v>
      </c>
      <c r="D496" s="95"/>
      <c r="E496" s="95"/>
      <c r="F496" s="96"/>
      <c r="G496" s="96"/>
      <c r="H496" s="61" t="s">
        <v>941</v>
      </c>
      <c r="I496" s="65" t="s">
        <v>464</v>
      </c>
      <c r="J496" s="98"/>
      <c r="K496" s="98"/>
      <c r="L496" s="68" t="s">
        <v>110</v>
      </c>
      <c r="M496" s="68" t="s">
        <v>15</v>
      </c>
      <c r="N496" s="68" t="s">
        <v>114</v>
      </c>
      <c r="O496" s="68" t="s">
        <v>15</v>
      </c>
      <c r="P496" s="61"/>
      <c r="Q496" s="69"/>
    </row>
    <row r="497" spans="1:17" ht="60" customHeight="1" thickBot="1" x14ac:dyDescent="0.3">
      <c r="A497" s="53" t="s">
        <v>942</v>
      </c>
      <c r="B497" s="54" t="s">
        <v>943</v>
      </c>
      <c r="C497" s="55"/>
      <c r="D497" s="56">
        <f>D498+D499+D500+D501+D502+D505+D506+D511+D515+D516+D517+D522+D523+D524+D528+D533+D536</f>
        <v>3194.1000000000004</v>
      </c>
      <c r="E497" s="56">
        <f>E498+E499+E500+E501+E502+E505+E506+E511+E515+E516+E517+E522+E523+E524+E528+E533+E536+0.1</f>
        <v>2835.3999999999992</v>
      </c>
      <c r="F497" s="56">
        <f>F498+F499+F500+F501+F502+F505+F506+F511+F515+F516+F517+F522+F523+F524+F528+F533+F536-0.1</f>
        <v>358.7</v>
      </c>
      <c r="G497" s="57">
        <f>SUM(E497/D497)</f>
        <v>0.88769919539150277</v>
      </c>
      <c r="H497" s="55"/>
      <c r="I497" s="58"/>
      <c r="J497" s="59"/>
      <c r="K497" s="59"/>
      <c r="L497" s="60"/>
      <c r="M497" s="60"/>
      <c r="N497" s="60"/>
      <c r="O497" s="60"/>
      <c r="P497" s="210"/>
      <c r="Q497" s="211"/>
    </row>
    <row r="498" spans="1:17" ht="3" hidden="1" customHeight="1" thickBot="1" x14ac:dyDescent="0.3">
      <c r="A498" s="93" t="s">
        <v>944</v>
      </c>
      <c r="B498" s="94" t="s">
        <v>945</v>
      </c>
      <c r="C498" s="61" t="s">
        <v>946</v>
      </c>
      <c r="D498" s="95"/>
      <c r="E498" s="95"/>
      <c r="F498" s="96"/>
      <c r="G498" s="96"/>
      <c r="H498" s="61"/>
      <c r="I498" s="65"/>
      <c r="J498" s="98"/>
      <c r="K498" s="98"/>
      <c r="L498" s="68"/>
      <c r="M498" s="68"/>
      <c r="N498" s="68"/>
      <c r="O498" s="68"/>
      <c r="P498" s="61"/>
      <c r="Q498" s="69"/>
    </row>
    <row r="499" spans="1:17" ht="79.5" hidden="1" thickBot="1" x14ac:dyDescent="0.3">
      <c r="A499" s="93" t="s">
        <v>947</v>
      </c>
      <c r="B499" s="94" t="s">
        <v>948</v>
      </c>
      <c r="C499" s="61"/>
      <c r="D499" s="95"/>
      <c r="E499" s="95"/>
      <c r="F499" s="96"/>
      <c r="G499" s="96"/>
      <c r="H499" s="61" t="s">
        <v>949</v>
      </c>
      <c r="I499" s="65" t="s">
        <v>14</v>
      </c>
      <c r="J499" s="98"/>
      <c r="K499" s="98"/>
      <c r="L499" s="68"/>
      <c r="M499" s="68"/>
      <c r="N499" s="68" t="s">
        <v>54</v>
      </c>
      <c r="O499" s="68" t="s">
        <v>15</v>
      </c>
      <c r="P499" s="61"/>
      <c r="Q499" s="69"/>
    </row>
    <row r="500" spans="1:17" ht="63.75" hidden="1" thickBot="1" x14ac:dyDescent="0.3">
      <c r="A500" s="93" t="s">
        <v>950</v>
      </c>
      <c r="B500" s="94" t="s">
        <v>951</v>
      </c>
      <c r="C500" s="61" t="s">
        <v>27</v>
      </c>
      <c r="D500" s="95"/>
      <c r="E500" s="95"/>
      <c r="F500" s="96"/>
      <c r="G500" s="96"/>
      <c r="H500" s="61" t="s">
        <v>952</v>
      </c>
      <c r="I500" s="65" t="s">
        <v>14</v>
      </c>
      <c r="J500" s="98"/>
      <c r="K500" s="98"/>
      <c r="L500" s="68" t="s">
        <v>953</v>
      </c>
      <c r="M500" s="68" t="s">
        <v>15</v>
      </c>
      <c r="N500" s="68" t="s">
        <v>54</v>
      </c>
      <c r="O500" s="68" t="s">
        <v>15</v>
      </c>
      <c r="P500" s="61"/>
      <c r="Q500" s="69"/>
    </row>
    <row r="501" spans="1:17" ht="79.5" hidden="1" thickBot="1" x14ac:dyDescent="0.3">
      <c r="A501" s="93" t="s">
        <v>954</v>
      </c>
      <c r="B501" s="94" t="s">
        <v>955</v>
      </c>
      <c r="C501" s="61" t="s">
        <v>27</v>
      </c>
      <c r="D501" s="95"/>
      <c r="E501" s="95"/>
      <c r="F501" s="96"/>
      <c r="G501" s="96"/>
      <c r="H501" s="61"/>
      <c r="I501" s="65"/>
      <c r="J501" s="98"/>
      <c r="K501" s="98"/>
      <c r="L501" s="68"/>
      <c r="M501" s="68"/>
      <c r="N501" s="68"/>
      <c r="O501" s="68"/>
      <c r="P501" s="61"/>
      <c r="Q501" s="69"/>
    </row>
    <row r="502" spans="1:17" ht="52.5" customHeight="1" x14ac:dyDescent="0.25">
      <c r="A502" s="280" t="s">
        <v>956</v>
      </c>
      <c r="B502" s="282" t="s">
        <v>957</v>
      </c>
      <c r="C502" s="61"/>
      <c r="D502" s="62">
        <f>SUM(D503:D504)</f>
        <v>97.9</v>
      </c>
      <c r="E502" s="62">
        <f>SUM(E503:E504)</f>
        <v>95.1</v>
      </c>
      <c r="F502" s="63">
        <f>SUM(F503:F504)</f>
        <v>2.8</v>
      </c>
      <c r="G502" s="79">
        <f>SUM(E502/D502)</f>
        <v>0.97139938712972407</v>
      </c>
      <c r="H502" s="212" t="s">
        <v>958</v>
      </c>
      <c r="I502" s="215" t="s">
        <v>14</v>
      </c>
      <c r="J502" s="218">
        <v>1</v>
      </c>
      <c r="K502" s="243">
        <v>1</v>
      </c>
      <c r="L502" s="68"/>
      <c r="M502" s="68"/>
      <c r="N502" s="68"/>
      <c r="O502" s="68"/>
      <c r="P502" s="212" t="s">
        <v>959</v>
      </c>
      <c r="Q502" s="227" t="s">
        <v>1696</v>
      </c>
    </row>
    <row r="503" spans="1:17" ht="15.75" x14ac:dyDescent="0.25">
      <c r="A503" s="284"/>
      <c r="B503" s="324"/>
      <c r="C503" s="70" t="s">
        <v>37</v>
      </c>
      <c r="D503" s="71">
        <v>15</v>
      </c>
      <c r="E503" s="71">
        <v>15</v>
      </c>
      <c r="F503" s="72"/>
      <c r="G503" s="80">
        <f>SUM(E503/D503)</f>
        <v>1</v>
      </c>
      <c r="H503" s="213"/>
      <c r="I503" s="216"/>
      <c r="J503" s="219"/>
      <c r="K503" s="244"/>
      <c r="L503" s="76" t="s">
        <v>54</v>
      </c>
      <c r="M503" s="76" t="s">
        <v>54</v>
      </c>
      <c r="N503" s="76"/>
      <c r="O503" s="76"/>
      <c r="P503" s="213"/>
      <c r="Q503" s="228"/>
    </row>
    <row r="504" spans="1:17" ht="34.5" customHeight="1" thickBot="1" x14ac:dyDescent="0.3">
      <c r="A504" s="281"/>
      <c r="B504" s="283"/>
      <c r="C504" s="70" t="s">
        <v>27</v>
      </c>
      <c r="D504" s="71">
        <v>82.9</v>
      </c>
      <c r="E504" s="71">
        <v>80.099999999999994</v>
      </c>
      <c r="F504" s="72">
        <v>2.8</v>
      </c>
      <c r="G504" s="91">
        <f>SUM(E504/D504)</f>
        <v>0.96622436670687561</v>
      </c>
      <c r="H504" s="214"/>
      <c r="I504" s="217"/>
      <c r="J504" s="220"/>
      <c r="K504" s="245"/>
      <c r="L504" s="76"/>
      <c r="M504" s="76"/>
      <c r="N504" s="76" t="s">
        <v>54</v>
      </c>
      <c r="O504" s="76" t="s">
        <v>54</v>
      </c>
      <c r="P504" s="214"/>
      <c r="Q504" s="229"/>
    </row>
    <row r="505" spans="1:17" ht="79.5" hidden="1" thickBot="1" x14ac:dyDescent="0.3">
      <c r="A505" s="93" t="s">
        <v>960</v>
      </c>
      <c r="B505" s="94" t="s">
        <v>961</v>
      </c>
      <c r="C505" s="61" t="s">
        <v>27</v>
      </c>
      <c r="D505" s="95"/>
      <c r="E505" s="95"/>
      <c r="F505" s="96"/>
      <c r="G505" s="96"/>
      <c r="H505" s="61" t="s">
        <v>962</v>
      </c>
      <c r="I505" s="65" t="s">
        <v>14</v>
      </c>
      <c r="J505" s="98"/>
      <c r="K505" s="98"/>
      <c r="L505" s="68" t="s">
        <v>54</v>
      </c>
      <c r="M505" s="68" t="s">
        <v>15</v>
      </c>
      <c r="N505" s="68"/>
      <c r="O505" s="68"/>
      <c r="P505" s="61"/>
      <c r="Q505" s="69"/>
    </row>
    <row r="506" spans="1:17" ht="34.5" customHeight="1" x14ac:dyDescent="0.25">
      <c r="A506" s="280" t="s">
        <v>963</v>
      </c>
      <c r="B506" s="282" t="s">
        <v>964</v>
      </c>
      <c r="C506" s="61"/>
      <c r="D506" s="62">
        <f>SUM(D507:D510)</f>
        <v>1699.6</v>
      </c>
      <c r="E506" s="62">
        <f>SUM(E507:E510)</f>
        <v>1699.6</v>
      </c>
      <c r="F506" s="63"/>
      <c r="G506" s="79">
        <f t="shared" ref="G506:G514" si="26">SUM(E506/D506)</f>
        <v>1</v>
      </c>
      <c r="H506" s="212" t="s">
        <v>965</v>
      </c>
      <c r="I506" s="215" t="s">
        <v>14</v>
      </c>
      <c r="J506" s="218">
        <v>54</v>
      </c>
      <c r="K506" s="243">
        <v>54</v>
      </c>
      <c r="L506" s="68" t="s">
        <v>966</v>
      </c>
      <c r="M506" s="68" t="s">
        <v>15</v>
      </c>
      <c r="N506" s="68" t="s">
        <v>54</v>
      </c>
      <c r="O506" s="68" t="s">
        <v>15</v>
      </c>
      <c r="P506" s="212" t="s">
        <v>1697</v>
      </c>
      <c r="Q506" s="227"/>
    </row>
    <row r="507" spans="1:17" ht="15.75" x14ac:dyDescent="0.25">
      <c r="A507" s="284"/>
      <c r="B507" s="324"/>
      <c r="C507" s="70" t="s">
        <v>946</v>
      </c>
      <c r="D507" s="71">
        <v>666</v>
      </c>
      <c r="E507" s="71">
        <v>666</v>
      </c>
      <c r="F507" s="72"/>
      <c r="G507" s="80">
        <f t="shared" si="26"/>
        <v>1</v>
      </c>
      <c r="H507" s="213"/>
      <c r="I507" s="216"/>
      <c r="J507" s="219"/>
      <c r="K507" s="244"/>
      <c r="L507" s="76"/>
      <c r="M507" s="76"/>
      <c r="N507" s="76"/>
      <c r="O507" s="76"/>
      <c r="P507" s="213"/>
      <c r="Q507" s="228"/>
    </row>
    <row r="508" spans="1:17" ht="15.75" x14ac:dyDescent="0.25">
      <c r="A508" s="284"/>
      <c r="B508" s="324"/>
      <c r="C508" s="70" t="s">
        <v>426</v>
      </c>
      <c r="D508" s="71">
        <v>857</v>
      </c>
      <c r="E508" s="71">
        <v>857</v>
      </c>
      <c r="F508" s="72"/>
      <c r="G508" s="80">
        <f t="shared" si="26"/>
        <v>1</v>
      </c>
      <c r="H508" s="213"/>
      <c r="I508" s="216"/>
      <c r="J508" s="219"/>
      <c r="K508" s="244"/>
      <c r="L508" s="76"/>
      <c r="M508" s="76"/>
      <c r="N508" s="76"/>
      <c r="O508" s="76"/>
      <c r="P508" s="213"/>
      <c r="Q508" s="228"/>
    </row>
    <row r="509" spans="1:17" ht="15.75" x14ac:dyDescent="0.25">
      <c r="A509" s="284"/>
      <c r="B509" s="324"/>
      <c r="C509" s="70" t="s">
        <v>37</v>
      </c>
      <c r="D509" s="71">
        <v>151.6</v>
      </c>
      <c r="E509" s="71">
        <v>151.6</v>
      </c>
      <c r="F509" s="72"/>
      <c r="G509" s="80">
        <f t="shared" si="26"/>
        <v>1</v>
      </c>
      <c r="H509" s="213"/>
      <c r="I509" s="216"/>
      <c r="J509" s="219"/>
      <c r="K509" s="244"/>
      <c r="L509" s="76"/>
      <c r="M509" s="76"/>
      <c r="N509" s="76"/>
      <c r="O509" s="76"/>
      <c r="P509" s="213"/>
      <c r="Q509" s="228"/>
    </row>
    <row r="510" spans="1:17" ht="16.5" thickBot="1" x14ac:dyDescent="0.3">
      <c r="A510" s="281"/>
      <c r="B510" s="283"/>
      <c r="C510" s="70" t="s">
        <v>27</v>
      </c>
      <c r="D510" s="71">
        <v>25</v>
      </c>
      <c r="E510" s="71">
        <v>25</v>
      </c>
      <c r="F510" s="72"/>
      <c r="G510" s="91">
        <f t="shared" si="26"/>
        <v>1</v>
      </c>
      <c r="H510" s="214"/>
      <c r="I510" s="217"/>
      <c r="J510" s="220"/>
      <c r="K510" s="245"/>
      <c r="L510" s="76"/>
      <c r="M510" s="76"/>
      <c r="N510" s="76"/>
      <c r="O510" s="76"/>
      <c r="P510" s="214"/>
      <c r="Q510" s="229"/>
    </row>
    <row r="511" spans="1:17" ht="90.75" customHeight="1" x14ac:dyDescent="0.25">
      <c r="A511" s="280" t="s">
        <v>967</v>
      </c>
      <c r="B511" s="282" t="s">
        <v>968</v>
      </c>
      <c r="C511" s="61"/>
      <c r="D511" s="62">
        <f>SUM(D512:D514)</f>
        <v>209.60000000000002</v>
      </c>
      <c r="E511" s="62">
        <f>SUM(E512:E514)</f>
        <v>188.6</v>
      </c>
      <c r="F511" s="63">
        <f>SUM(F512:F514)</f>
        <v>21</v>
      </c>
      <c r="G511" s="79">
        <f t="shared" si="26"/>
        <v>0.89980916030534341</v>
      </c>
      <c r="H511" s="212" t="s">
        <v>969</v>
      </c>
      <c r="I511" s="215" t="s">
        <v>464</v>
      </c>
      <c r="J511" s="218">
        <v>2</v>
      </c>
      <c r="K511" s="243">
        <v>2</v>
      </c>
      <c r="L511" s="68" t="s">
        <v>29</v>
      </c>
      <c r="M511" s="68" t="s">
        <v>15</v>
      </c>
      <c r="N511" s="68" t="s">
        <v>42</v>
      </c>
      <c r="O511" s="68" t="s">
        <v>15</v>
      </c>
      <c r="P511" s="212" t="s">
        <v>1576</v>
      </c>
      <c r="Q511" s="262" t="s">
        <v>1698</v>
      </c>
    </row>
    <row r="512" spans="1:17" ht="15.75" x14ac:dyDescent="0.25">
      <c r="A512" s="284"/>
      <c r="B512" s="324"/>
      <c r="C512" s="70" t="s">
        <v>27</v>
      </c>
      <c r="D512" s="71">
        <v>40.299999999999997</v>
      </c>
      <c r="E512" s="71">
        <v>36</v>
      </c>
      <c r="F512" s="72">
        <v>4.3</v>
      </c>
      <c r="G512" s="80">
        <f t="shared" si="26"/>
        <v>0.89330024813895792</v>
      </c>
      <c r="H512" s="213"/>
      <c r="I512" s="216"/>
      <c r="J512" s="219"/>
      <c r="K512" s="244"/>
      <c r="L512" s="76"/>
      <c r="M512" s="76"/>
      <c r="N512" s="76"/>
      <c r="O512" s="76"/>
      <c r="P512" s="213"/>
      <c r="Q512" s="264"/>
    </row>
    <row r="513" spans="1:17" ht="15.75" x14ac:dyDescent="0.25">
      <c r="A513" s="284"/>
      <c r="B513" s="324"/>
      <c r="C513" s="70" t="s">
        <v>165</v>
      </c>
      <c r="D513" s="71">
        <v>100</v>
      </c>
      <c r="E513" s="71">
        <v>86.6</v>
      </c>
      <c r="F513" s="72">
        <v>13.4</v>
      </c>
      <c r="G513" s="80">
        <f t="shared" si="26"/>
        <v>0.86599999999999999</v>
      </c>
      <c r="H513" s="213"/>
      <c r="I513" s="216"/>
      <c r="J513" s="219"/>
      <c r="K513" s="244"/>
      <c r="L513" s="76"/>
      <c r="M513" s="76"/>
      <c r="N513" s="76"/>
      <c r="O513" s="76"/>
      <c r="P513" s="213"/>
      <c r="Q513" s="264"/>
    </row>
    <row r="514" spans="1:17" ht="15" customHeight="1" thickBot="1" x14ac:dyDescent="0.3">
      <c r="A514" s="281"/>
      <c r="B514" s="283"/>
      <c r="C514" s="70" t="s">
        <v>37</v>
      </c>
      <c r="D514" s="71">
        <v>69.3</v>
      </c>
      <c r="E514" s="71">
        <v>66</v>
      </c>
      <c r="F514" s="72">
        <v>3.3</v>
      </c>
      <c r="G514" s="91">
        <f t="shared" si="26"/>
        <v>0.95238095238095244</v>
      </c>
      <c r="H514" s="214"/>
      <c r="I514" s="217"/>
      <c r="J514" s="220"/>
      <c r="K514" s="245"/>
      <c r="L514" s="76"/>
      <c r="M514" s="76"/>
      <c r="N514" s="76"/>
      <c r="O514" s="76"/>
      <c r="P514" s="214"/>
      <c r="Q514" s="263"/>
    </row>
    <row r="515" spans="1:17" ht="142.5" hidden="1" thickBot="1" x14ac:dyDescent="0.3">
      <c r="A515" s="93" t="s">
        <v>970</v>
      </c>
      <c r="B515" s="94" t="s">
        <v>971</v>
      </c>
      <c r="C515" s="61" t="s">
        <v>27</v>
      </c>
      <c r="D515" s="95"/>
      <c r="E515" s="95"/>
      <c r="F515" s="96"/>
      <c r="G515" s="96"/>
      <c r="H515" s="61" t="s">
        <v>972</v>
      </c>
      <c r="I515" s="65" t="s">
        <v>464</v>
      </c>
      <c r="J515" s="98"/>
      <c r="K515" s="98"/>
      <c r="L515" s="68"/>
      <c r="M515" s="68"/>
      <c r="N515" s="68" t="s">
        <v>58</v>
      </c>
      <c r="O515" s="68" t="s">
        <v>15</v>
      </c>
      <c r="P515" s="61"/>
      <c r="Q515" s="69"/>
    </row>
    <row r="516" spans="1:17" ht="18" hidden="1" customHeight="1" thickBot="1" x14ac:dyDescent="0.3">
      <c r="A516" s="93" t="s">
        <v>973</v>
      </c>
      <c r="B516" s="94" t="s">
        <v>974</v>
      </c>
      <c r="C516" s="61" t="s">
        <v>175</v>
      </c>
      <c r="D516" s="95"/>
      <c r="E516" s="95"/>
      <c r="F516" s="96"/>
      <c r="G516" s="96"/>
      <c r="H516" s="61"/>
      <c r="I516" s="65"/>
      <c r="J516" s="98"/>
      <c r="K516" s="98"/>
      <c r="L516" s="68"/>
      <c r="M516" s="68"/>
      <c r="N516" s="68"/>
      <c r="O516" s="68"/>
      <c r="P516" s="61"/>
      <c r="Q516" s="69"/>
    </row>
    <row r="517" spans="1:17" ht="110.25" x14ac:dyDescent="0.25">
      <c r="A517" s="280" t="s">
        <v>975</v>
      </c>
      <c r="B517" s="282" t="s">
        <v>976</v>
      </c>
      <c r="C517" s="61"/>
      <c r="D517" s="62">
        <f>SUM(D518:D521)</f>
        <v>200</v>
      </c>
      <c r="E517" s="62">
        <f>SUM(E518:E521)</f>
        <v>7.3</v>
      </c>
      <c r="F517" s="63">
        <f>SUM(F518:F521)</f>
        <v>192.7</v>
      </c>
      <c r="G517" s="79">
        <f>SUM(E517/D517)</f>
        <v>3.6499999999999998E-2</v>
      </c>
      <c r="H517" s="61" t="s">
        <v>977</v>
      </c>
      <c r="I517" s="65" t="s">
        <v>464</v>
      </c>
      <c r="J517" s="66">
        <v>1</v>
      </c>
      <c r="K517" s="172">
        <v>0</v>
      </c>
      <c r="L517" s="68" t="s">
        <v>29</v>
      </c>
      <c r="M517" s="68" t="s">
        <v>15</v>
      </c>
      <c r="N517" s="68" t="s">
        <v>29</v>
      </c>
      <c r="O517" s="68" t="s">
        <v>15</v>
      </c>
      <c r="P517" s="133"/>
      <c r="Q517" s="69"/>
    </row>
    <row r="518" spans="1:17" ht="141.75" x14ac:dyDescent="0.25">
      <c r="A518" s="284"/>
      <c r="B518" s="324"/>
      <c r="C518" s="70" t="s">
        <v>27</v>
      </c>
      <c r="D518" s="71">
        <v>200</v>
      </c>
      <c r="E518" s="71">
        <v>7.3</v>
      </c>
      <c r="F518" s="72">
        <v>192.7</v>
      </c>
      <c r="G518" s="80">
        <f>SUM(E518/D518)</f>
        <v>3.6499999999999998E-2</v>
      </c>
      <c r="H518" s="70" t="s">
        <v>978</v>
      </c>
      <c r="I518" s="73" t="s">
        <v>464</v>
      </c>
      <c r="J518" s="74">
        <v>1</v>
      </c>
      <c r="K518" s="81">
        <v>1</v>
      </c>
      <c r="L518" s="76" t="s">
        <v>29</v>
      </c>
      <c r="M518" s="76" t="s">
        <v>15</v>
      </c>
      <c r="N518" s="76" t="s">
        <v>29</v>
      </c>
      <c r="O518" s="76" t="s">
        <v>15</v>
      </c>
      <c r="P518" s="70" t="s">
        <v>979</v>
      </c>
      <c r="Q518" s="77" t="s">
        <v>1699</v>
      </c>
    </row>
    <row r="519" spans="1:17" ht="117.75" customHeight="1" thickBot="1" x14ac:dyDescent="0.3">
      <c r="A519" s="284"/>
      <c r="B519" s="324"/>
      <c r="C519" s="70"/>
      <c r="D519" s="71"/>
      <c r="E519" s="71"/>
      <c r="F519" s="72"/>
      <c r="G519" s="72"/>
      <c r="H519" s="70" t="s">
        <v>980</v>
      </c>
      <c r="I519" s="73" t="s">
        <v>464</v>
      </c>
      <c r="J519" s="74">
        <v>1</v>
      </c>
      <c r="K519" s="173">
        <v>0</v>
      </c>
      <c r="L519" s="76" t="s">
        <v>42</v>
      </c>
      <c r="M519" s="76" t="s">
        <v>15</v>
      </c>
      <c r="N519" s="76" t="s">
        <v>42</v>
      </c>
      <c r="O519" s="76" t="s">
        <v>15</v>
      </c>
      <c r="P519" s="70"/>
      <c r="Q519" s="77"/>
    </row>
    <row r="520" spans="1:17" ht="0.75" hidden="1" customHeight="1" thickBot="1" x14ac:dyDescent="0.3">
      <c r="A520" s="284"/>
      <c r="B520" s="324"/>
      <c r="C520" s="70"/>
      <c r="D520" s="71"/>
      <c r="E520" s="71"/>
      <c r="F520" s="72"/>
      <c r="G520" s="72"/>
      <c r="H520" s="70" t="s">
        <v>981</v>
      </c>
      <c r="I520" s="73" t="s">
        <v>464</v>
      </c>
      <c r="J520" s="78"/>
      <c r="K520" s="78"/>
      <c r="L520" s="76" t="s">
        <v>29</v>
      </c>
      <c r="M520" s="76" t="s">
        <v>15</v>
      </c>
      <c r="N520" s="76" t="s">
        <v>42</v>
      </c>
      <c r="O520" s="76" t="s">
        <v>15</v>
      </c>
      <c r="P520" s="70"/>
      <c r="Q520" s="77"/>
    </row>
    <row r="521" spans="1:17" ht="79.5" hidden="1" thickBot="1" x14ac:dyDescent="0.3">
      <c r="A521" s="281"/>
      <c r="B521" s="283"/>
      <c r="C521" s="70"/>
      <c r="D521" s="71"/>
      <c r="E521" s="71"/>
      <c r="F521" s="72"/>
      <c r="G521" s="72"/>
      <c r="H521" s="70" t="s">
        <v>982</v>
      </c>
      <c r="I521" s="73" t="s">
        <v>464</v>
      </c>
      <c r="J521" s="78"/>
      <c r="K521" s="78"/>
      <c r="L521" s="76" t="s">
        <v>42</v>
      </c>
      <c r="M521" s="76" t="s">
        <v>15</v>
      </c>
      <c r="N521" s="76" t="s">
        <v>60</v>
      </c>
      <c r="O521" s="76" t="s">
        <v>15</v>
      </c>
      <c r="P521" s="70"/>
      <c r="Q521" s="77"/>
    </row>
    <row r="522" spans="1:17" ht="14.25" hidden="1" customHeight="1" thickBot="1" x14ac:dyDescent="0.3">
      <c r="A522" s="93" t="s">
        <v>983</v>
      </c>
      <c r="B522" s="94" t="s">
        <v>984</v>
      </c>
      <c r="C522" s="61" t="s">
        <v>27</v>
      </c>
      <c r="D522" s="95"/>
      <c r="E522" s="95"/>
      <c r="F522" s="96"/>
      <c r="G522" s="96"/>
      <c r="H522" s="61" t="s">
        <v>985</v>
      </c>
      <c r="I522" s="65" t="s">
        <v>14</v>
      </c>
      <c r="J522" s="98"/>
      <c r="K522" s="98"/>
      <c r="L522" s="68" t="s">
        <v>146</v>
      </c>
      <c r="M522" s="68" t="s">
        <v>15</v>
      </c>
      <c r="N522" s="68" t="s">
        <v>54</v>
      </c>
      <c r="O522" s="68" t="s">
        <v>15</v>
      </c>
      <c r="P522" s="61"/>
      <c r="Q522" s="69"/>
    </row>
    <row r="523" spans="1:17" ht="95.25" hidden="1" thickBot="1" x14ac:dyDescent="0.3">
      <c r="A523" s="93" t="s">
        <v>986</v>
      </c>
      <c r="B523" s="94" t="s">
        <v>987</v>
      </c>
      <c r="C523" s="61" t="s">
        <v>204</v>
      </c>
      <c r="D523" s="95"/>
      <c r="E523" s="95"/>
      <c r="F523" s="96"/>
      <c r="G523" s="96"/>
      <c r="H523" s="61"/>
      <c r="I523" s="65"/>
      <c r="J523" s="98"/>
      <c r="K523" s="98"/>
      <c r="L523" s="68"/>
      <c r="M523" s="68"/>
      <c r="N523" s="68"/>
      <c r="O523" s="68"/>
      <c r="P523" s="61"/>
      <c r="Q523" s="69"/>
    </row>
    <row r="524" spans="1:17" ht="94.5" customHeight="1" x14ac:dyDescent="0.25">
      <c r="A524" s="280" t="s">
        <v>988</v>
      </c>
      <c r="B524" s="282" t="s">
        <v>989</v>
      </c>
      <c r="C524" s="61"/>
      <c r="D524" s="62">
        <f>SUM(D525:D527)</f>
        <v>181.3</v>
      </c>
      <c r="E524" s="62">
        <f>SUM(E525:E527)</f>
        <v>154</v>
      </c>
      <c r="F524" s="63">
        <f>SUM(F525:F527)+0.1</f>
        <v>27.300000000000004</v>
      </c>
      <c r="G524" s="79">
        <f t="shared" ref="G524:G535" si="27">SUM(E524/D524)</f>
        <v>0.84942084942084939</v>
      </c>
      <c r="H524" s="212" t="s">
        <v>990</v>
      </c>
      <c r="I524" s="215" t="s">
        <v>19</v>
      </c>
      <c r="J524" s="218">
        <v>2</v>
      </c>
      <c r="K524" s="243">
        <v>2</v>
      </c>
      <c r="L524" s="68"/>
      <c r="M524" s="68"/>
      <c r="N524" s="68"/>
      <c r="O524" s="68"/>
      <c r="P524" s="212" t="s">
        <v>991</v>
      </c>
      <c r="Q524" s="262" t="s">
        <v>1866</v>
      </c>
    </row>
    <row r="525" spans="1:17" ht="15.75" x14ac:dyDescent="0.25">
      <c r="A525" s="284"/>
      <c r="B525" s="324"/>
      <c r="C525" s="70" t="s">
        <v>229</v>
      </c>
      <c r="D525" s="71">
        <v>82</v>
      </c>
      <c r="E525" s="71">
        <v>61</v>
      </c>
      <c r="F525" s="72">
        <v>21</v>
      </c>
      <c r="G525" s="80">
        <f t="shared" si="27"/>
        <v>0.74390243902439024</v>
      </c>
      <c r="H525" s="213"/>
      <c r="I525" s="216"/>
      <c r="J525" s="219"/>
      <c r="K525" s="244"/>
      <c r="L525" s="76"/>
      <c r="M525" s="76"/>
      <c r="N525" s="76"/>
      <c r="O525" s="76"/>
      <c r="P525" s="213"/>
      <c r="Q525" s="264"/>
    </row>
    <row r="526" spans="1:17" ht="15.75" x14ac:dyDescent="0.25">
      <c r="A526" s="284"/>
      <c r="B526" s="324"/>
      <c r="C526" s="70" t="s">
        <v>37</v>
      </c>
      <c r="D526" s="71">
        <v>91.8</v>
      </c>
      <c r="E526" s="71">
        <v>87.6</v>
      </c>
      <c r="F526" s="72">
        <v>4.0999999999999996</v>
      </c>
      <c r="G526" s="80">
        <f t="shared" si="27"/>
        <v>0.95424836601307184</v>
      </c>
      <c r="H526" s="213"/>
      <c r="I526" s="216"/>
      <c r="J526" s="219"/>
      <c r="K526" s="244"/>
      <c r="L526" s="76"/>
      <c r="M526" s="76"/>
      <c r="N526" s="76"/>
      <c r="O526" s="76"/>
      <c r="P526" s="213"/>
      <c r="Q526" s="264"/>
    </row>
    <row r="527" spans="1:17" ht="16.5" thickBot="1" x14ac:dyDescent="0.3">
      <c r="A527" s="281"/>
      <c r="B527" s="283"/>
      <c r="C527" s="70" t="s">
        <v>175</v>
      </c>
      <c r="D527" s="71">
        <v>7.5</v>
      </c>
      <c r="E527" s="71">
        <v>5.4</v>
      </c>
      <c r="F527" s="72">
        <v>2.1</v>
      </c>
      <c r="G527" s="91">
        <f t="shared" si="27"/>
        <v>0.72000000000000008</v>
      </c>
      <c r="H527" s="214"/>
      <c r="I527" s="217"/>
      <c r="J527" s="220"/>
      <c r="K527" s="245"/>
      <c r="L527" s="76"/>
      <c r="M527" s="76"/>
      <c r="N527" s="76"/>
      <c r="O527" s="76"/>
      <c r="P527" s="214"/>
      <c r="Q527" s="263"/>
    </row>
    <row r="528" spans="1:17" ht="270" customHeight="1" x14ac:dyDescent="0.25">
      <c r="A528" s="280" t="s">
        <v>992</v>
      </c>
      <c r="B528" s="282" t="s">
        <v>993</v>
      </c>
      <c r="C528" s="61"/>
      <c r="D528" s="62">
        <f>SUM(D529:D532)</f>
        <v>727.4</v>
      </c>
      <c r="E528" s="62">
        <f>SUM(E529:E532)</f>
        <v>636.20000000000005</v>
      </c>
      <c r="F528" s="63">
        <f>SUM(F529:F532)</f>
        <v>91.2</v>
      </c>
      <c r="G528" s="79">
        <f t="shared" si="27"/>
        <v>0.87462194116029701</v>
      </c>
      <c r="H528" s="61" t="s">
        <v>990</v>
      </c>
      <c r="I528" s="65" t="s">
        <v>19</v>
      </c>
      <c r="J528" s="66">
        <v>1</v>
      </c>
      <c r="K528" s="128">
        <v>0</v>
      </c>
      <c r="L528" s="68"/>
      <c r="M528" s="68"/>
      <c r="N528" s="68"/>
      <c r="O528" s="68"/>
      <c r="P528" s="212" t="s">
        <v>1700</v>
      </c>
      <c r="Q528" s="227" t="s">
        <v>1807</v>
      </c>
    </row>
    <row r="529" spans="1:21" ht="116.25" customHeight="1" x14ac:dyDescent="0.25">
      <c r="A529" s="284"/>
      <c r="B529" s="324"/>
      <c r="C529" s="70" t="s">
        <v>37</v>
      </c>
      <c r="D529" s="71">
        <v>138.4</v>
      </c>
      <c r="E529" s="71">
        <v>85.1</v>
      </c>
      <c r="F529" s="72">
        <v>53.3</v>
      </c>
      <c r="G529" s="80">
        <f t="shared" si="27"/>
        <v>0.61488439306358378</v>
      </c>
      <c r="H529" s="70" t="s">
        <v>994</v>
      </c>
      <c r="I529" s="73" t="s">
        <v>464</v>
      </c>
      <c r="J529" s="74">
        <v>50</v>
      </c>
      <c r="K529" s="174">
        <v>0</v>
      </c>
      <c r="L529" s="76"/>
      <c r="M529" s="76"/>
      <c r="N529" s="76"/>
      <c r="O529" s="76"/>
      <c r="P529" s="213"/>
      <c r="Q529" s="228"/>
    </row>
    <row r="530" spans="1:21" ht="30" customHeight="1" x14ac:dyDescent="0.25">
      <c r="A530" s="284"/>
      <c r="B530" s="324"/>
      <c r="C530" s="70" t="s">
        <v>229</v>
      </c>
      <c r="D530" s="71">
        <v>335.1</v>
      </c>
      <c r="E530" s="71">
        <v>300.60000000000002</v>
      </c>
      <c r="F530" s="72">
        <v>34.5</v>
      </c>
      <c r="G530" s="80">
        <f t="shared" si="27"/>
        <v>0.89704565801253355</v>
      </c>
      <c r="H530" s="246" t="s">
        <v>444</v>
      </c>
      <c r="I530" s="247" t="s">
        <v>14</v>
      </c>
      <c r="J530" s="248">
        <v>100</v>
      </c>
      <c r="K530" s="325">
        <v>100</v>
      </c>
      <c r="L530" s="76"/>
      <c r="M530" s="76"/>
      <c r="N530" s="76"/>
      <c r="O530" s="76"/>
      <c r="P530" s="213"/>
      <c r="Q530" s="228"/>
    </row>
    <row r="531" spans="1:21" ht="15.75" x14ac:dyDescent="0.25">
      <c r="A531" s="284"/>
      <c r="B531" s="324"/>
      <c r="C531" s="70" t="s">
        <v>175</v>
      </c>
      <c r="D531" s="71">
        <v>53.9</v>
      </c>
      <c r="E531" s="71">
        <v>50.5</v>
      </c>
      <c r="F531" s="72">
        <v>3.4</v>
      </c>
      <c r="G531" s="80">
        <f t="shared" si="27"/>
        <v>0.93692022263450836</v>
      </c>
      <c r="H531" s="213"/>
      <c r="I531" s="216"/>
      <c r="J531" s="219"/>
      <c r="K531" s="326"/>
      <c r="L531" s="76"/>
      <c r="M531" s="76"/>
      <c r="N531" s="76"/>
      <c r="O531" s="76"/>
      <c r="P531" s="213"/>
      <c r="Q531" s="228"/>
    </row>
    <row r="532" spans="1:21" ht="16.5" thickBot="1" x14ac:dyDescent="0.3">
      <c r="A532" s="281"/>
      <c r="B532" s="283"/>
      <c r="C532" s="70" t="s">
        <v>426</v>
      </c>
      <c r="D532" s="71">
        <v>200</v>
      </c>
      <c r="E532" s="71">
        <v>200</v>
      </c>
      <c r="F532" s="72"/>
      <c r="G532" s="91">
        <f t="shared" si="27"/>
        <v>1</v>
      </c>
      <c r="H532" s="214"/>
      <c r="I532" s="217"/>
      <c r="J532" s="220"/>
      <c r="K532" s="327"/>
      <c r="L532" s="76"/>
      <c r="M532" s="76"/>
      <c r="N532" s="76"/>
      <c r="O532" s="76"/>
      <c r="P532" s="214"/>
      <c r="Q532" s="229"/>
    </row>
    <row r="533" spans="1:21" ht="110.25" x14ac:dyDescent="0.25">
      <c r="A533" s="280" t="s">
        <v>995</v>
      </c>
      <c r="B533" s="282" t="s">
        <v>996</v>
      </c>
      <c r="C533" s="61"/>
      <c r="D533" s="62">
        <f>SUM(D534:D535)</f>
        <v>78.300000000000011</v>
      </c>
      <c r="E533" s="62">
        <f>SUM(E534:E535)</f>
        <v>54.5</v>
      </c>
      <c r="F533" s="63">
        <f>SUM(F534:F535)</f>
        <v>23.8</v>
      </c>
      <c r="G533" s="79">
        <f t="shared" si="27"/>
        <v>0.69604086845466151</v>
      </c>
      <c r="H533" s="61" t="s">
        <v>997</v>
      </c>
      <c r="I533" s="65" t="s">
        <v>19</v>
      </c>
      <c r="J533" s="66">
        <v>2</v>
      </c>
      <c r="K533" s="128">
        <v>0</v>
      </c>
      <c r="L533" s="68"/>
      <c r="M533" s="68"/>
      <c r="N533" s="68"/>
      <c r="O533" s="68"/>
      <c r="P533" s="212" t="s">
        <v>1701</v>
      </c>
      <c r="Q533" s="262" t="s">
        <v>1702</v>
      </c>
    </row>
    <row r="534" spans="1:21" ht="33" customHeight="1" x14ac:dyDescent="0.25">
      <c r="A534" s="284"/>
      <c r="B534" s="324"/>
      <c r="C534" s="70" t="s">
        <v>37</v>
      </c>
      <c r="D534" s="71">
        <v>6.9</v>
      </c>
      <c r="E534" s="71">
        <v>1.2</v>
      </c>
      <c r="F534" s="72">
        <v>5.7</v>
      </c>
      <c r="G534" s="80">
        <f t="shared" si="27"/>
        <v>0.17391304347826086</v>
      </c>
      <c r="H534" s="246" t="s">
        <v>998</v>
      </c>
      <c r="I534" s="247" t="s">
        <v>19</v>
      </c>
      <c r="J534" s="248">
        <v>2</v>
      </c>
      <c r="K534" s="322">
        <v>0</v>
      </c>
      <c r="L534" s="76"/>
      <c r="M534" s="76"/>
      <c r="N534" s="76"/>
      <c r="O534" s="76"/>
      <c r="P534" s="213"/>
      <c r="Q534" s="264"/>
    </row>
    <row r="535" spans="1:21" ht="28.5" customHeight="1" thickBot="1" x14ac:dyDescent="0.3">
      <c r="A535" s="281"/>
      <c r="B535" s="283"/>
      <c r="C535" s="70" t="s">
        <v>229</v>
      </c>
      <c r="D535" s="71">
        <v>71.400000000000006</v>
      </c>
      <c r="E535" s="71">
        <v>53.3</v>
      </c>
      <c r="F535" s="72">
        <v>18.100000000000001</v>
      </c>
      <c r="G535" s="91">
        <f t="shared" si="27"/>
        <v>0.74649859943977581</v>
      </c>
      <c r="H535" s="214"/>
      <c r="I535" s="217"/>
      <c r="J535" s="220"/>
      <c r="K535" s="323"/>
      <c r="L535" s="76"/>
      <c r="M535" s="76"/>
      <c r="N535" s="76"/>
      <c r="O535" s="76"/>
      <c r="P535" s="214"/>
      <c r="Q535" s="263"/>
    </row>
    <row r="536" spans="1:21" ht="13.5" hidden="1" customHeight="1" thickBot="1" x14ac:dyDescent="0.3">
      <c r="A536" s="93" t="s">
        <v>999</v>
      </c>
      <c r="B536" s="94" t="s">
        <v>1000</v>
      </c>
      <c r="C536" s="61"/>
      <c r="D536" s="95"/>
      <c r="E536" s="95"/>
      <c r="F536" s="96"/>
      <c r="G536" s="96"/>
      <c r="H536" s="61" t="s">
        <v>1001</v>
      </c>
      <c r="I536" s="65" t="s">
        <v>19</v>
      </c>
      <c r="J536" s="98"/>
      <c r="K536" s="98"/>
      <c r="L536" s="68" t="s">
        <v>42</v>
      </c>
      <c r="M536" s="68" t="s">
        <v>15</v>
      </c>
      <c r="N536" s="68" t="s">
        <v>59</v>
      </c>
      <c r="O536" s="68" t="s">
        <v>15</v>
      </c>
      <c r="P536" s="61"/>
      <c r="Q536" s="69"/>
    </row>
    <row r="537" spans="1:21" ht="48" thickBot="1" x14ac:dyDescent="0.3">
      <c r="A537" s="37" t="s">
        <v>1002</v>
      </c>
      <c r="B537" s="38" t="s">
        <v>1003</v>
      </c>
      <c r="C537" s="39"/>
      <c r="D537" s="40">
        <f>D538+D551+D589</f>
        <v>4304.2</v>
      </c>
      <c r="E537" s="40">
        <f>E538+E551+E589+0.1</f>
        <v>3831.8</v>
      </c>
      <c r="F537" s="40">
        <f>F538+F551+F589+0.1</f>
        <v>472.5</v>
      </c>
      <c r="G537" s="41">
        <f t="shared" ref="G537:G543" si="28">SUM(E537/D537)</f>
        <v>0.89024673574648028</v>
      </c>
      <c r="H537" s="39" t="s">
        <v>1003</v>
      </c>
      <c r="I537" s="42"/>
      <c r="J537" s="43"/>
      <c r="K537" s="43"/>
      <c r="L537" s="44"/>
      <c r="M537" s="44"/>
      <c r="N537" s="44"/>
      <c r="O537" s="44"/>
      <c r="P537" s="267"/>
      <c r="Q537" s="268"/>
    </row>
    <row r="538" spans="1:21" ht="111" thickBot="1" x14ac:dyDescent="0.3">
      <c r="A538" s="45" t="s">
        <v>1004</v>
      </c>
      <c r="B538" s="46" t="s">
        <v>1005</v>
      </c>
      <c r="C538" s="47"/>
      <c r="D538" s="48">
        <f>SUM(D539:D539)</f>
        <v>849.5</v>
      </c>
      <c r="E538" s="48">
        <f>SUM(E539:E539)</f>
        <v>616.30000000000007</v>
      </c>
      <c r="F538" s="48">
        <f>SUM(F539:F539)</f>
        <v>233.2</v>
      </c>
      <c r="G538" s="49">
        <f t="shared" si="28"/>
        <v>0.72548557975279582</v>
      </c>
      <c r="H538" s="47" t="s">
        <v>1006</v>
      </c>
      <c r="I538" s="50" t="s">
        <v>14</v>
      </c>
      <c r="J538" s="51">
        <v>2.6</v>
      </c>
      <c r="K538" s="51">
        <v>5.6</v>
      </c>
      <c r="L538" s="52" t="s">
        <v>1007</v>
      </c>
      <c r="M538" s="52" t="s">
        <v>15</v>
      </c>
      <c r="N538" s="52" t="s">
        <v>1007</v>
      </c>
      <c r="O538" s="52" t="s">
        <v>15</v>
      </c>
      <c r="P538" s="230"/>
      <c r="Q538" s="231"/>
      <c r="S538" s="3"/>
      <c r="T538" s="10" t="s">
        <v>1</v>
      </c>
      <c r="U538" s="10" t="s">
        <v>1551</v>
      </c>
    </row>
    <row r="539" spans="1:21" ht="48" thickBot="1" x14ac:dyDescent="0.3">
      <c r="A539" s="53" t="s">
        <v>1008</v>
      </c>
      <c r="B539" s="54" t="s">
        <v>1009</v>
      </c>
      <c r="C539" s="55"/>
      <c r="D539" s="56">
        <f>D540+D541+D543+D545+D546+D550</f>
        <v>849.5</v>
      </c>
      <c r="E539" s="56">
        <f>E540+E541+E543+E545+E546+E550+0.1</f>
        <v>616.30000000000007</v>
      </c>
      <c r="F539" s="56">
        <f>F540+F541+F543+F545+F546+F550</f>
        <v>233.2</v>
      </c>
      <c r="G539" s="57">
        <f t="shared" si="28"/>
        <v>0.72548557975279582</v>
      </c>
      <c r="H539" s="55"/>
      <c r="I539" s="58"/>
      <c r="J539" s="59"/>
      <c r="K539" s="59"/>
      <c r="L539" s="60"/>
      <c r="M539" s="60"/>
      <c r="N539" s="60"/>
      <c r="O539" s="60"/>
      <c r="P539" s="210"/>
      <c r="Q539" s="211"/>
      <c r="S539" s="7"/>
      <c r="T539" s="14" t="s">
        <v>1552</v>
      </c>
      <c r="U539" s="11">
        <v>5</v>
      </c>
    </row>
    <row r="540" spans="1:21" ht="95.25" thickBot="1" x14ac:dyDescent="0.3">
      <c r="A540" s="93" t="s">
        <v>1010</v>
      </c>
      <c r="B540" s="94" t="s">
        <v>1011</v>
      </c>
      <c r="C540" s="61" t="s">
        <v>37</v>
      </c>
      <c r="D540" s="95">
        <v>56.6</v>
      </c>
      <c r="E540" s="95">
        <v>42.9</v>
      </c>
      <c r="F540" s="96">
        <v>13.7</v>
      </c>
      <c r="G540" s="79">
        <f t="shared" si="28"/>
        <v>0.75795053003533563</v>
      </c>
      <c r="H540" s="61" t="s">
        <v>199</v>
      </c>
      <c r="I540" s="65" t="s">
        <v>19</v>
      </c>
      <c r="J540" s="66">
        <v>1</v>
      </c>
      <c r="K540" s="89">
        <v>1</v>
      </c>
      <c r="L540" s="68"/>
      <c r="M540" s="68"/>
      <c r="N540" s="68"/>
      <c r="O540" s="68"/>
      <c r="P540" s="61" t="s">
        <v>1012</v>
      </c>
      <c r="Q540" s="69"/>
      <c r="S540" s="4"/>
      <c r="T540" s="14" t="s">
        <v>1556</v>
      </c>
      <c r="U540" s="11">
        <v>1</v>
      </c>
    </row>
    <row r="541" spans="1:21" ht="61.5" customHeight="1" x14ac:dyDescent="0.25">
      <c r="A541" s="280" t="s">
        <v>1013</v>
      </c>
      <c r="B541" s="282" t="s">
        <v>1014</v>
      </c>
      <c r="C541" s="61"/>
      <c r="D541" s="62">
        <f>SUM(D542:D542)</f>
        <v>200</v>
      </c>
      <c r="E541" s="62">
        <f>SUM(E542:E542)</f>
        <v>94.9</v>
      </c>
      <c r="F541" s="63">
        <f>SUM(F542:F542)</f>
        <v>105.1</v>
      </c>
      <c r="G541" s="79">
        <f t="shared" si="28"/>
        <v>0.47450000000000003</v>
      </c>
      <c r="H541" s="212" t="s">
        <v>1015</v>
      </c>
      <c r="I541" s="215" t="s">
        <v>14</v>
      </c>
      <c r="J541" s="218">
        <v>30</v>
      </c>
      <c r="K541" s="241">
        <v>50</v>
      </c>
      <c r="L541" s="68" t="s">
        <v>301</v>
      </c>
      <c r="M541" s="68" t="s">
        <v>15</v>
      </c>
      <c r="N541" s="68" t="s">
        <v>54</v>
      </c>
      <c r="O541" s="68" t="s">
        <v>15</v>
      </c>
      <c r="P541" s="212" t="s">
        <v>1016</v>
      </c>
      <c r="Q541" s="224"/>
      <c r="S541" s="6"/>
      <c r="T541" s="14" t="s">
        <v>1557</v>
      </c>
      <c r="U541" s="11">
        <v>3</v>
      </c>
    </row>
    <row r="542" spans="1:21" ht="40.5" customHeight="1" thickBot="1" x14ac:dyDescent="0.3">
      <c r="A542" s="281"/>
      <c r="B542" s="283"/>
      <c r="C542" s="70" t="s">
        <v>37</v>
      </c>
      <c r="D542" s="71">
        <v>200</v>
      </c>
      <c r="E542" s="71">
        <v>94.9</v>
      </c>
      <c r="F542" s="72">
        <v>105.1</v>
      </c>
      <c r="G542" s="125">
        <f t="shared" si="28"/>
        <v>0.47450000000000003</v>
      </c>
      <c r="H542" s="214"/>
      <c r="I542" s="217"/>
      <c r="J542" s="220"/>
      <c r="K542" s="242"/>
      <c r="L542" s="76"/>
      <c r="M542" s="76"/>
      <c r="N542" s="76"/>
      <c r="O542" s="76"/>
      <c r="P542" s="214"/>
      <c r="Q542" s="226"/>
      <c r="S542" s="9"/>
      <c r="T542" s="14" t="s">
        <v>1555</v>
      </c>
      <c r="U542" s="19">
        <v>8</v>
      </c>
    </row>
    <row r="543" spans="1:21" ht="63" x14ac:dyDescent="0.25">
      <c r="A543" s="280" t="s">
        <v>1017</v>
      </c>
      <c r="B543" s="282" t="s">
        <v>1018</v>
      </c>
      <c r="C543" s="61" t="s">
        <v>27</v>
      </c>
      <c r="D543" s="62">
        <f>SUM(D544:D544)+69.1</f>
        <v>69.099999999999994</v>
      </c>
      <c r="E543" s="62">
        <f>SUM(E544:E544)+44</f>
        <v>44</v>
      </c>
      <c r="F543" s="63">
        <f>SUM(F544:F544)+25.1</f>
        <v>25.1</v>
      </c>
      <c r="G543" s="79">
        <f t="shared" si="28"/>
        <v>0.63675832127351673</v>
      </c>
      <c r="H543" s="61" t="s">
        <v>1019</v>
      </c>
      <c r="I543" s="65" t="s">
        <v>464</v>
      </c>
      <c r="J543" s="66">
        <v>0</v>
      </c>
      <c r="K543" s="109">
        <v>1</v>
      </c>
      <c r="L543" s="68" t="s">
        <v>59</v>
      </c>
      <c r="M543" s="68" t="s">
        <v>15</v>
      </c>
      <c r="N543" s="68" t="s">
        <v>59</v>
      </c>
      <c r="O543" s="68" t="s">
        <v>15</v>
      </c>
      <c r="P543" s="61" t="s">
        <v>1020</v>
      </c>
      <c r="Q543" s="132" t="s">
        <v>1704</v>
      </c>
      <c r="S543" s="8"/>
      <c r="T543" s="14" t="s">
        <v>1553</v>
      </c>
      <c r="U543" s="13">
        <v>1</v>
      </c>
    </row>
    <row r="544" spans="1:21" ht="63.75" thickBot="1" x14ac:dyDescent="0.3">
      <c r="A544" s="281"/>
      <c r="B544" s="283"/>
      <c r="C544" s="70"/>
      <c r="D544" s="71"/>
      <c r="E544" s="71"/>
      <c r="F544" s="72"/>
      <c r="G544" s="72"/>
      <c r="H544" s="70" t="s">
        <v>1021</v>
      </c>
      <c r="I544" s="73" t="s">
        <v>464</v>
      </c>
      <c r="J544" s="74">
        <v>6</v>
      </c>
      <c r="K544" s="110">
        <v>3</v>
      </c>
      <c r="L544" s="76" t="s">
        <v>97</v>
      </c>
      <c r="M544" s="76" t="s">
        <v>15</v>
      </c>
      <c r="N544" s="76" t="s">
        <v>97</v>
      </c>
      <c r="O544" s="76" t="s">
        <v>15</v>
      </c>
      <c r="P544" s="70" t="s">
        <v>1022</v>
      </c>
      <c r="Q544" s="77" t="s">
        <v>1703</v>
      </c>
      <c r="S544" s="16"/>
      <c r="T544" s="17" t="s">
        <v>1554</v>
      </c>
      <c r="U544" s="13">
        <v>18</v>
      </c>
    </row>
    <row r="545" spans="1:17" ht="48" thickBot="1" x14ac:dyDescent="0.3">
      <c r="A545" s="93" t="s">
        <v>1023</v>
      </c>
      <c r="B545" s="94" t="s">
        <v>1024</v>
      </c>
      <c r="C545" s="61" t="s">
        <v>27</v>
      </c>
      <c r="D545" s="95">
        <v>70</v>
      </c>
      <c r="E545" s="95">
        <v>69.8</v>
      </c>
      <c r="F545" s="96">
        <v>0.2</v>
      </c>
      <c r="G545" s="79">
        <f>SUM(E545/D545)</f>
        <v>0.99714285714285711</v>
      </c>
      <c r="H545" s="61" t="s">
        <v>1025</v>
      </c>
      <c r="I545" s="65" t="s">
        <v>14</v>
      </c>
      <c r="J545" s="66">
        <v>100</v>
      </c>
      <c r="K545" s="89">
        <v>100</v>
      </c>
      <c r="L545" s="68"/>
      <c r="M545" s="68"/>
      <c r="N545" s="68"/>
      <c r="O545" s="68"/>
      <c r="P545" s="61" t="s">
        <v>1026</v>
      </c>
      <c r="Q545" s="69"/>
    </row>
    <row r="546" spans="1:17" ht="119.25" customHeight="1" x14ac:dyDescent="0.25">
      <c r="A546" s="280" t="s">
        <v>1027</v>
      </c>
      <c r="B546" s="282" t="s">
        <v>1028</v>
      </c>
      <c r="C546" s="61"/>
      <c r="D546" s="62">
        <f>SUM(D547:D549)</f>
        <v>453.79999999999995</v>
      </c>
      <c r="E546" s="62">
        <f>SUM(E547:E549)</f>
        <v>364.6</v>
      </c>
      <c r="F546" s="63">
        <f>SUM(F547:F549)-0.1</f>
        <v>89.1</v>
      </c>
      <c r="G546" s="79">
        <f>SUM(E546/D546)</f>
        <v>0.80343763772587051</v>
      </c>
      <c r="H546" s="61" t="s">
        <v>1029</v>
      </c>
      <c r="I546" s="65" t="s">
        <v>563</v>
      </c>
      <c r="J546" s="121">
        <v>37677</v>
      </c>
      <c r="K546" s="128">
        <v>0</v>
      </c>
      <c r="L546" s="68"/>
      <c r="M546" s="68"/>
      <c r="N546" s="68"/>
      <c r="O546" s="68"/>
      <c r="P546" s="212" t="s">
        <v>1030</v>
      </c>
      <c r="Q546" s="262" t="s">
        <v>1808</v>
      </c>
    </row>
    <row r="547" spans="1:17" ht="195" customHeight="1" x14ac:dyDescent="0.25">
      <c r="A547" s="284"/>
      <c r="B547" s="324"/>
      <c r="C547" s="70" t="s">
        <v>175</v>
      </c>
      <c r="D547" s="71">
        <v>82.7</v>
      </c>
      <c r="E547" s="71">
        <v>68.7</v>
      </c>
      <c r="F547" s="72">
        <v>14</v>
      </c>
      <c r="G547" s="80">
        <f>SUM(E547/D547)</f>
        <v>0.83071342200725518</v>
      </c>
      <c r="H547" s="246" t="s">
        <v>1031</v>
      </c>
      <c r="I547" s="247" t="s">
        <v>19</v>
      </c>
      <c r="J547" s="248">
        <v>1</v>
      </c>
      <c r="K547" s="321">
        <v>0</v>
      </c>
      <c r="L547" s="76"/>
      <c r="M547" s="76"/>
      <c r="N547" s="76"/>
      <c r="O547" s="76"/>
      <c r="P547" s="213"/>
      <c r="Q547" s="264"/>
    </row>
    <row r="548" spans="1:17" ht="15.75" x14ac:dyDescent="0.25">
      <c r="A548" s="284"/>
      <c r="B548" s="324"/>
      <c r="C548" s="70" t="s">
        <v>229</v>
      </c>
      <c r="D548" s="71">
        <v>360.2</v>
      </c>
      <c r="E548" s="71">
        <v>286.60000000000002</v>
      </c>
      <c r="F548" s="72">
        <v>73.599999999999994</v>
      </c>
      <c r="G548" s="80">
        <f>SUM(E548/D548)</f>
        <v>0.7956690727373682</v>
      </c>
      <c r="H548" s="213"/>
      <c r="I548" s="216"/>
      <c r="J548" s="219"/>
      <c r="K548" s="298"/>
      <c r="L548" s="76"/>
      <c r="M548" s="76"/>
      <c r="N548" s="76"/>
      <c r="O548" s="76"/>
      <c r="P548" s="213"/>
      <c r="Q548" s="264"/>
    </row>
    <row r="549" spans="1:17" ht="16.5" thickBot="1" x14ac:dyDescent="0.3">
      <c r="A549" s="281"/>
      <c r="B549" s="283"/>
      <c r="C549" s="70" t="s">
        <v>37</v>
      </c>
      <c r="D549" s="71">
        <v>10.9</v>
      </c>
      <c r="E549" s="71">
        <v>9.3000000000000007</v>
      </c>
      <c r="F549" s="72">
        <v>1.6</v>
      </c>
      <c r="G549" s="91">
        <f>SUM(E549/D549)</f>
        <v>0.85321100917431192</v>
      </c>
      <c r="H549" s="214"/>
      <c r="I549" s="217"/>
      <c r="J549" s="220"/>
      <c r="K549" s="299"/>
      <c r="L549" s="76"/>
      <c r="M549" s="76"/>
      <c r="N549" s="76"/>
      <c r="O549" s="76"/>
      <c r="P549" s="214"/>
      <c r="Q549" s="263"/>
    </row>
    <row r="550" spans="1:17" ht="0.75" customHeight="1" thickBot="1" x14ac:dyDescent="0.3">
      <c r="A550" s="93" t="s">
        <v>1032</v>
      </c>
      <c r="B550" s="94" t="s">
        <v>1033</v>
      </c>
      <c r="C550" s="61" t="s">
        <v>175</v>
      </c>
      <c r="D550" s="95"/>
      <c r="E550" s="95"/>
      <c r="F550" s="96"/>
      <c r="G550" s="96"/>
      <c r="H550" s="61"/>
      <c r="I550" s="65"/>
      <c r="J550" s="98"/>
      <c r="K550" s="98"/>
      <c r="L550" s="68"/>
      <c r="M550" s="68"/>
      <c r="N550" s="68"/>
      <c r="O550" s="68"/>
      <c r="P550" s="61"/>
      <c r="Q550" s="69"/>
    </row>
    <row r="551" spans="1:17" ht="64.5" customHeight="1" x14ac:dyDescent="0.25">
      <c r="A551" s="254" t="s">
        <v>1034</v>
      </c>
      <c r="B551" s="256" t="s">
        <v>1035</v>
      </c>
      <c r="C551" s="258"/>
      <c r="D551" s="260">
        <f>D552+D553+D554+D567+D570+D587</f>
        <v>3317.4</v>
      </c>
      <c r="E551" s="260">
        <f>E552+E553+E554+E567+E570+E587-0.1</f>
        <v>3116.6</v>
      </c>
      <c r="F551" s="260">
        <f>F552+F553+F554+F567+F570+F587+0.1</f>
        <v>200.79999999999998</v>
      </c>
      <c r="G551" s="273">
        <f>SUM(E551/D551)</f>
        <v>0.93947066980165184</v>
      </c>
      <c r="H551" s="47" t="s">
        <v>1036</v>
      </c>
      <c r="I551" s="50" t="s">
        <v>464</v>
      </c>
      <c r="J551" s="51">
        <v>3</v>
      </c>
      <c r="K551" s="51">
        <v>3</v>
      </c>
      <c r="L551" s="52" t="s">
        <v>60</v>
      </c>
      <c r="M551" s="52" t="s">
        <v>15</v>
      </c>
      <c r="N551" s="52" t="s">
        <v>58</v>
      </c>
      <c r="O551" s="52" t="s">
        <v>15</v>
      </c>
      <c r="P551" s="306"/>
      <c r="Q551" s="307"/>
    </row>
    <row r="552" spans="1:17" ht="80.25" customHeight="1" x14ac:dyDescent="0.25">
      <c r="A552" s="269"/>
      <c r="B552" s="270"/>
      <c r="C552" s="271"/>
      <c r="D552" s="272"/>
      <c r="E552" s="272"/>
      <c r="F552" s="272"/>
      <c r="G552" s="274"/>
      <c r="H552" s="105" t="s">
        <v>1037</v>
      </c>
      <c r="I552" s="107" t="s">
        <v>14</v>
      </c>
      <c r="J552" s="108">
        <v>100</v>
      </c>
      <c r="K552" s="175">
        <v>100</v>
      </c>
      <c r="L552" s="144" t="s">
        <v>54</v>
      </c>
      <c r="M552" s="144" t="s">
        <v>15</v>
      </c>
      <c r="N552" s="144" t="s">
        <v>54</v>
      </c>
      <c r="O552" s="144" t="s">
        <v>15</v>
      </c>
      <c r="P552" s="308"/>
      <c r="Q552" s="309"/>
    </row>
    <row r="553" spans="1:17" ht="95.25" thickBot="1" x14ac:dyDescent="0.3">
      <c r="A553" s="255"/>
      <c r="B553" s="257"/>
      <c r="C553" s="259"/>
      <c r="D553" s="261"/>
      <c r="E553" s="261"/>
      <c r="F553" s="261"/>
      <c r="G553" s="275"/>
      <c r="H553" s="105" t="s">
        <v>1038</v>
      </c>
      <c r="I553" s="107" t="s">
        <v>464</v>
      </c>
      <c r="J553" s="151">
        <v>3250</v>
      </c>
      <c r="K553" s="151">
        <v>6588</v>
      </c>
      <c r="L553" s="144" t="s">
        <v>667</v>
      </c>
      <c r="M553" s="144" t="s">
        <v>15</v>
      </c>
      <c r="N553" s="144" t="s">
        <v>1039</v>
      </c>
      <c r="O553" s="144" t="s">
        <v>15</v>
      </c>
      <c r="P553" s="310"/>
      <c r="Q553" s="311"/>
    </row>
    <row r="554" spans="1:17" ht="111" thickBot="1" x14ac:dyDescent="0.3">
      <c r="A554" s="53" t="s">
        <v>1040</v>
      </c>
      <c r="B554" s="54" t="s">
        <v>1041</v>
      </c>
      <c r="C554" s="55"/>
      <c r="D554" s="56">
        <f>D555+D561+D563-0.1</f>
        <v>1864.1</v>
      </c>
      <c r="E554" s="56">
        <f>E555+E561+E563</f>
        <v>1710.3999999999996</v>
      </c>
      <c r="F554" s="56">
        <f>F555+F561+F563-0.1</f>
        <v>153.70000000000002</v>
      </c>
      <c r="G554" s="57">
        <f t="shared" ref="G554:G580" si="29">SUM(E554/D554)</f>
        <v>0.91754734188080023</v>
      </c>
      <c r="H554" s="55"/>
      <c r="I554" s="58"/>
      <c r="J554" s="59"/>
      <c r="K554" s="59"/>
      <c r="L554" s="60"/>
      <c r="M554" s="60"/>
      <c r="N554" s="60"/>
      <c r="O554" s="60"/>
      <c r="P554" s="210"/>
      <c r="Q554" s="211"/>
    </row>
    <row r="555" spans="1:17" ht="62.25" customHeight="1" x14ac:dyDescent="0.25">
      <c r="A555" s="280" t="s">
        <v>1042</v>
      </c>
      <c r="B555" s="282" t="s">
        <v>1043</v>
      </c>
      <c r="C555" s="61"/>
      <c r="D555" s="62">
        <f>SUM(D556:D560)</f>
        <v>1804.6</v>
      </c>
      <c r="E555" s="62">
        <f>SUM(E556:E560)</f>
        <v>1666.2999999999997</v>
      </c>
      <c r="F555" s="63">
        <f>SUM(F556:F560)</f>
        <v>138.30000000000001</v>
      </c>
      <c r="G555" s="79">
        <f t="shared" si="29"/>
        <v>0.92336251800953106</v>
      </c>
      <c r="H555" s="212" t="s">
        <v>1044</v>
      </c>
      <c r="I555" s="215" t="s">
        <v>464</v>
      </c>
      <c r="J555" s="218">
        <v>3</v>
      </c>
      <c r="K555" s="243">
        <v>3</v>
      </c>
      <c r="L555" s="68" t="s">
        <v>59</v>
      </c>
      <c r="M555" s="68" t="s">
        <v>15</v>
      </c>
      <c r="N555" s="68" t="s">
        <v>59</v>
      </c>
      <c r="O555" s="68" t="s">
        <v>15</v>
      </c>
      <c r="P555" s="212" t="s">
        <v>1045</v>
      </c>
      <c r="Q555" s="227" t="s">
        <v>1705</v>
      </c>
    </row>
    <row r="556" spans="1:17" ht="15.75" x14ac:dyDescent="0.25">
      <c r="A556" s="284"/>
      <c r="B556" s="324"/>
      <c r="C556" s="70" t="s">
        <v>27</v>
      </c>
      <c r="D556" s="71">
        <v>100</v>
      </c>
      <c r="E556" s="71"/>
      <c r="F556" s="72">
        <v>100</v>
      </c>
      <c r="G556" s="80">
        <f t="shared" si="29"/>
        <v>0</v>
      </c>
      <c r="H556" s="213"/>
      <c r="I556" s="216"/>
      <c r="J556" s="219"/>
      <c r="K556" s="244"/>
      <c r="L556" s="76"/>
      <c r="M556" s="76"/>
      <c r="N556" s="76"/>
      <c r="O556" s="76"/>
      <c r="P556" s="213"/>
      <c r="Q556" s="228"/>
    </row>
    <row r="557" spans="1:17" ht="15.75" x14ac:dyDescent="0.25">
      <c r="A557" s="284"/>
      <c r="B557" s="324"/>
      <c r="C557" s="70" t="s">
        <v>302</v>
      </c>
      <c r="D557" s="71">
        <v>31.8</v>
      </c>
      <c r="E557" s="71">
        <v>31.3</v>
      </c>
      <c r="F557" s="72">
        <v>0.5</v>
      </c>
      <c r="G557" s="80">
        <f t="shared" si="29"/>
        <v>0.98427672955974843</v>
      </c>
      <c r="H557" s="213"/>
      <c r="I557" s="216"/>
      <c r="J557" s="219"/>
      <c r="K557" s="244"/>
      <c r="L557" s="76"/>
      <c r="M557" s="76"/>
      <c r="N557" s="76"/>
      <c r="O557" s="76"/>
      <c r="P557" s="213"/>
      <c r="Q557" s="228"/>
    </row>
    <row r="558" spans="1:17" ht="15.75" x14ac:dyDescent="0.25">
      <c r="A558" s="284"/>
      <c r="B558" s="324"/>
      <c r="C558" s="70" t="s">
        <v>37</v>
      </c>
      <c r="D558" s="71">
        <v>20</v>
      </c>
      <c r="E558" s="71">
        <v>12.3</v>
      </c>
      <c r="F558" s="72">
        <v>7.7</v>
      </c>
      <c r="G558" s="80">
        <f t="shared" si="29"/>
        <v>0.61499999999999999</v>
      </c>
      <c r="H558" s="213"/>
      <c r="I558" s="216"/>
      <c r="J558" s="219"/>
      <c r="K558" s="244"/>
      <c r="L558" s="76"/>
      <c r="M558" s="76"/>
      <c r="N558" s="76"/>
      <c r="O558" s="76"/>
      <c r="P558" s="213"/>
      <c r="Q558" s="228"/>
    </row>
    <row r="559" spans="1:17" ht="15.75" x14ac:dyDescent="0.25">
      <c r="A559" s="284"/>
      <c r="B559" s="324"/>
      <c r="C559" s="70" t="s">
        <v>175</v>
      </c>
      <c r="D559" s="71">
        <v>1647.2</v>
      </c>
      <c r="E559" s="71">
        <v>1622.1</v>
      </c>
      <c r="F559" s="72">
        <v>25.1</v>
      </c>
      <c r="G559" s="80">
        <f t="shared" si="29"/>
        <v>0.98476202039825145</v>
      </c>
      <c r="H559" s="213"/>
      <c r="I559" s="216"/>
      <c r="J559" s="219"/>
      <c r="K559" s="244"/>
      <c r="L559" s="76"/>
      <c r="M559" s="76"/>
      <c r="N559" s="76"/>
      <c r="O559" s="76"/>
      <c r="P559" s="213"/>
      <c r="Q559" s="228"/>
    </row>
    <row r="560" spans="1:17" ht="16.5" thickBot="1" x14ac:dyDescent="0.3">
      <c r="A560" s="281"/>
      <c r="B560" s="283"/>
      <c r="C560" s="70" t="s">
        <v>269</v>
      </c>
      <c r="D560" s="71">
        <v>5.6</v>
      </c>
      <c r="E560" s="71">
        <v>0.6</v>
      </c>
      <c r="F560" s="72">
        <v>5</v>
      </c>
      <c r="G560" s="91">
        <f t="shared" si="29"/>
        <v>0.10714285714285715</v>
      </c>
      <c r="H560" s="214"/>
      <c r="I560" s="217"/>
      <c r="J560" s="220"/>
      <c r="K560" s="245"/>
      <c r="L560" s="76"/>
      <c r="M560" s="76"/>
      <c r="N560" s="76"/>
      <c r="O560" s="76"/>
      <c r="P560" s="214"/>
      <c r="Q560" s="229"/>
    </row>
    <row r="561" spans="1:17" ht="63" x14ac:dyDescent="0.25">
      <c r="A561" s="280" t="s">
        <v>1046</v>
      </c>
      <c r="B561" s="282" t="s">
        <v>1047</v>
      </c>
      <c r="C561" s="61"/>
      <c r="D561" s="62">
        <f>SUM(D562:D562)</f>
        <v>25</v>
      </c>
      <c r="E561" s="62">
        <f>SUM(E562:E562)</f>
        <v>25</v>
      </c>
      <c r="F561" s="63"/>
      <c r="G561" s="79">
        <f t="shared" si="29"/>
        <v>1</v>
      </c>
      <c r="H561" s="212" t="s">
        <v>1048</v>
      </c>
      <c r="I561" s="215" t="s">
        <v>464</v>
      </c>
      <c r="J561" s="218">
        <v>400</v>
      </c>
      <c r="K561" s="317">
        <v>1094</v>
      </c>
      <c r="L561" s="68" t="s">
        <v>1049</v>
      </c>
      <c r="M561" s="68" t="s">
        <v>15</v>
      </c>
      <c r="N561" s="68" t="s">
        <v>1049</v>
      </c>
      <c r="O561" s="68" t="s">
        <v>15</v>
      </c>
      <c r="P561" s="265" t="s">
        <v>1706</v>
      </c>
      <c r="Q561" s="227" t="s">
        <v>1707</v>
      </c>
    </row>
    <row r="562" spans="1:17" ht="16.5" thickBot="1" x14ac:dyDescent="0.3">
      <c r="A562" s="281"/>
      <c r="B562" s="283"/>
      <c r="C562" s="70" t="s">
        <v>269</v>
      </c>
      <c r="D562" s="71">
        <v>25</v>
      </c>
      <c r="E562" s="71">
        <v>25</v>
      </c>
      <c r="F562" s="72"/>
      <c r="G562" s="125">
        <f t="shared" si="29"/>
        <v>1</v>
      </c>
      <c r="H562" s="214"/>
      <c r="I562" s="217"/>
      <c r="J562" s="220"/>
      <c r="K562" s="304"/>
      <c r="L562" s="76"/>
      <c r="M562" s="76"/>
      <c r="N562" s="76"/>
      <c r="O562" s="76"/>
      <c r="P562" s="266"/>
      <c r="Q562" s="229"/>
    </row>
    <row r="563" spans="1:17" ht="107.25" customHeight="1" x14ac:dyDescent="0.25">
      <c r="A563" s="280" t="s">
        <v>1050</v>
      </c>
      <c r="B563" s="282" t="s">
        <v>1051</v>
      </c>
      <c r="C563" s="61"/>
      <c r="D563" s="62">
        <f>SUM(D564:D566)+0.1</f>
        <v>34.6</v>
      </c>
      <c r="E563" s="62">
        <f>SUM(E564:E566)</f>
        <v>19.100000000000001</v>
      </c>
      <c r="F563" s="63">
        <f>SUM(F564:F566)+0.1</f>
        <v>15.5</v>
      </c>
      <c r="G563" s="79">
        <f t="shared" si="29"/>
        <v>0.55202312138728327</v>
      </c>
      <c r="H563" s="212" t="s">
        <v>1052</v>
      </c>
      <c r="I563" s="215" t="s">
        <v>464</v>
      </c>
      <c r="J563" s="218">
        <v>250</v>
      </c>
      <c r="K563" s="318">
        <v>286</v>
      </c>
      <c r="L563" s="68"/>
      <c r="M563" s="68"/>
      <c r="N563" s="68"/>
      <c r="O563" s="68"/>
      <c r="P563" s="212" t="s">
        <v>1054</v>
      </c>
      <c r="Q563" s="227" t="s">
        <v>1708</v>
      </c>
    </row>
    <row r="564" spans="1:17" ht="15.75" x14ac:dyDescent="0.25">
      <c r="A564" s="284"/>
      <c r="B564" s="324"/>
      <c r="C564" s="70" t="s">
        <v>27</v>
      </c>
      <c r="D564" s="71">
        <v>3.3</v>
      </c>
      <c r="E564" s="71">
        <v>2.4</v>
      </c>
      <c r="F564" s="72">
        <v>0.9</v>
      </c>
      <c r="G564" s="80">
        <f t="shared" si="29"/>
        <v>0.72727272727272729</v>
      </c>
      <c r="H564" s="213"/>
      <c r="I564" s="216"/>
      <c r="J564" s="219"/>
      <c r="K564" s="319"/>
      <c r="L564" s="76"/>
      <c r="M564" s="76"/>
      <c r="N564" s="76"/>
      <c r="O564" s="76"/>
      <c r="P564" s="213"/>
      <c r="Q564" s="228"/>
    </row>
    <row r="565" spans="1:17" ht="15.75" x14ac:dyDescent="0.25">
      <c r="A565" s="284"/>
      <c r="B565" s="324"/>
      <c r="C565" s="70" t="s">
        <v>160</v>
      </c>
      <c r="D565" s="71">
        <v>2.1</v>
      </c>
      <c r="E565" s="71">
        <v>1.4</v>
      </c>
      <c r="F565" s="72">
        <v>0.7</v>
      </c>
      <c r="G565" s="80">
        <f t="shared" si="29"/>
        <v>0.66666666666666663</v>
      </c>
      <c r="H565" s="213"/>
      <c r="I565" s="216"/>
      <c r="J565" s="219"/>
      <c r="K565" s="319"/>
      <c r="L565" s="76"/>
      <c r="M565" s="76"/>
      <c r="N565" s="76"/>
      <c r="O565" s="76"/>
      <c r="P565" s="213"/>
      <c r="Q565" s="228"/>
    </row>
    <row r="566" spans="1:17" ht="38.25" customHeight="1" thickBot="1" x14ac:dyDescent="0.3">
      <c r="A566" s="281"/>
      <c r="B566" s="283"/>
      <c r="C566" s="70" t="s">
        <v>204</v>
      </c>
      <c r="D566" s="71">
        <v>29.1</v>
      </c>
      <c r="E566" s="71">
        <v>15.3</v>
      </c>
      <c r="F566" s="72">
        <v>13.8</v>
      </c>
      <c r="G566" s="91">
        <f t="shared" si="29"/>
        <v>0.52577319587628868</v>
      </c>
      <c r="H566" s="214"/>
      <c r="I566" s="217"/>
      <c r="J566" s="220"/>
      <c r="K566" s="320"/>
      <c r="L566" s="76"/>
      <c r="M566" s="76"/>
      <c r="N566" s="76"/>
      <c r="O566" s="76"/>
      <c r="P566" s="214"/>
      <c r="Q566" s="229"/>
    </row>
    <row r="567" spans="1:17" ht="63.75" thickBot="1" x14ac:dyDescent="0.3">
      <c r="A567" s="53" t="s">
        <v>1055</v>
      </c>
      <c r="B567" s="54" t="s">
        <v>1056</v>
      </c>
      <c r="C567" s="55"/>
      <c r="D567" s="56">
        <f t="shared" ref="D567:F568" si="30">SUM(D568:D568)</f>
        <v>6.4</v>
      </c>
      <c r="E567" s="56">
        <f t="shared" si="30"/>
        <v>6.4</v>
      </c>
      <c r="F567" s="56">
        <f t="shared" si="30"/>
        <v>0</v>
      </c>
      <c r="G567" s="57">
        <f t="shared" si="29"/>
        <v>1</v>
      </c>
      <c r="H567" s="55"/>
      <c r="I567" s="58"/>
      <c r="J567" s="59"/>
      <c r="K567" s="59"/>
      <c r="L567" s="60"/>
      <c r="M567" s="60"/>
      <c r="N567" s="60"/>
      <c r="O567" s="60"/>
      <c r="P567" s="210"/>
      <c r="Q567" s="211"/>
    </row>
    <row r="568" spans="1:17" ht="92.25" customHeight="1" x14ac:dyDescent="0.25">
      <c r="A568" s="280" t="s">
        <v>1057</v>
      </c>
      <c r="B568" s="282" t="s">
        <v>1058</v>
      </c>
      <c r="C568" s="61"/>
      <c r="D568" s="62">
        <f t="shared" si="30"/>
        <v>6.4</v>
      </c>
      <c r="E568" s="62">
        <f t="shared" si="30"/>
        <v>6.4</v>
      </c>
      <c r="F568" s="63"/>
      <c r="G568" s="79">
        <f t="shared" si="29"/>
        <v>1</v>
      </c>
      <c r="H568" s="212" t="s">
        <v>1059</v>
      </c>
      <c r="I568" s="215" t="s">
        <v>14</v>
      </c>
      <c r="J568" s="218">
        <v>100</v>
      </c>
      <c r="K568" s="243">
        <v>100</v>
      </c>
      <c r="L568" s="68" t="s">
        <v>54</v>
      </c>
      <c r="M568" s="68" t="s">
        <v>15</v>
      </c>
      <c r="N568" s="68" t="s">
        <v>54</v>
      </c>
      <c r="O568" s="68" t="s">
        <v>15</v>
      </c>
      <c r="P568" s="212" t="s">
        <v>1060</v>
      </c>
      <c r="Q568" s="227"/>
    </row>
    <row r="569" spans="1:17" ht="40.5" customHeight="1" thickBot="1" x14ac:dyDescent="0.3">
      <c r="A569" s="281"/>
      <c r="B569" s="283"/>
      <c r="C569" s="70" t="s">
        <v>269</v>
      </c>
      <c r="D569" s="71">
        <v>6.4</v>
      </c>
      <c r="E569" s="71">
        <v>6.4</v>
      </c>
      <c r="F569" s="72"/>
      <c r="G569" s="125">
        <f t="shared" si="29"/>
        <v>1</v>
      </c>
      <c r="H569" s="214"/>
      <c r="I569" s="217"/>
      <c r="J569" s="220"/>
      <c r="K569" s="245"/>
      <c r="L569" s="76"/>
      <c r="M569" s="76"/>
      <c r="N569" s="76"/>
      <c r="O569" s="76"/>
      <c r="P569" s="214"/>
      <c r="Q569" s="229"/>
    </row>
    <row r="570" spans="1:17" ht="48" thickBot="1" x14ac:dyDescent="0.3">
      <c r="A570" s="53" t="s">
        <v>1061</v>
      </c>
      <c r="B570" s="54" t="s">
        <v>1062</v>
      </c>
      <c r="C570" s="55"/>
      <c r="D570" s="56">
        <f>D571+D576+D579+D584</f>
        <v>1237.3</v>
      </c>
      <c r="E570" s="56">
        <f>E571+E576+E579+E584</f>
        <v>1236.5999999999999</v>
      </c>
      <c r="F570" s="56">
        <f>F571+F576+F579+F584</f>
        <v>0.70000000000000007</v>
      </c>
      <c r="G570" s="57">
        <f t="shared" si="29"/>
        <v>0.99943425200032321</v>
      </c>
      <c r="H570" s="55"/>
      <c r="I570" s="58"/>
      <c r="J570" s="59"/>
      <c r="K570" s="59"/>
      <c r="L570" s="60"/>
      <c r="M570" s="60"/>
      <c r="N570" s="60"/>
      <c r="O570" s="60"/>
      <c r="P570" s="210"/>
      <c r="Q570" s="211"/>
    </row>
    <row r="571" spans="1:17" ht="63" x14ac:dyDescent="0.25">
      <c r="A571" s="280" t="s">
        <v>1063</v>
      </c>
      <c r="B571" s="282" t="s">
        <v>1064</v>
      </c>
      <c r="C571" s="61"/>
      <c r="D571" s="62">
        <f>SUM(D572:D575)</f>
        <v>163.4</v>
      </c>
      <c r="E571" s="62">
        <f>SUM(E572:E575)+0.1</f>
        <v>162.69999999999999</v>
      </c>
      <c r="F571" s="63">
        <f>SUM(F572:F575)-0.1</f>
        <v>0.70000000000000007</v>
      </c>
      <c r="G571" s="79">
        <f t="shared" si="29"/>
        <v>0.99571603427172573</v>
      </c>
      <c r="H571" s="212" t="s">
        <v>1065</v>
      </c>
      <c r="I571" s="215" t="s">
        <v>464</v>
      </c>
      <c r="J571" s="218">
        <v>300</v>
      </c>
      <c r="K571" s="241">
        <v>585</v>
      </c>
      <c r="L571" s="68" t="s">
        <v>869</v>
      </c>
      <c r="M571" s="68" t="s">
        <v>15</v>
      </c>
      <c r="N571" s="68" t="s">
        <v>869</v>
      </c>
      <c r="O571" s="68" t="s">
        <v>15</v>
      </c>
      <c r="P571" s="212" t="s">
        <v>1066</v>
      </c>
      <c r="Q571" s="227" t="s">
        <v>1709</v>
      </c>
    </row>
    <row r="572" spans="1:17" ht="15.75" x14ac:dyDescent="0.25">
      <c r="A572" s="284"/>
      <c r="B572" s="324"/>
      <c r="C572" s="70" t="s">
        <v>169</v>
      </c>
      <c r="D572" s="71">
        <v>1</v>
      </c>
      <c r="E572" s="71">
        <v>0.5</v>
      </c>
      <c r="F572" s="72">
        <v>0.5</v>
      </c>
      <c r="G572" s="80">
        <f t="shared" si="29"/>
        <v>0.5</v>
      </c>
      <c r="H572" s="213"/>
      <c r="I572" s="216"/>
      <c r="J572" s="219"/>
      <c r="K572" s="301"/>
      <c r="L572" s="76"/>
      <c r="M572" s="76"/>
      <c r="N572" s="76"/>
      <c r="O572" s="76"/>
      <c r="P572" s="213"/>
      <c r="Q572" s="228"/>
    </row>
    <row r="573" spans="1:17" ht="15.75" x14ac:dyDescent="0.25">
      <c r="A573" s="284"/>
      <c r="B573" s="324"/>
      <c r="C573" s="70" t="s">
        <v>165</v>
      </c>
      <c r="D573" s="71">
        <v>3</v>
      </c>
      <c r="E573" s="71">
        <v>2.7</v>
      </c>
      <c r="F573" s="72">
        <v>0.3</v>
      </c>
      <c r="G573" s="80">
        <f t="shared" si="29"/>
        <v>0.9</v>
      </c>
      <c r="H573" s="213"/>
      <c r="I573" s="216"/>
      <c r="J573" s="219"/>
      <c r="K573" s="301"/>
      <c r="L573" s="76"/>
      <c r="M573" s="76"/>
      <c r="N573" s="76"/>
      <c r="O573" s="76"/>
      <c r="P573" s="213"/>
      <c r="Q573" s="228"/>
    </row>
    <row r="574" spans="1:17" ht="15.75" x14ac:dyDescent="0.25">
      <c r="A574" s="284"/>
      <c r="B574" s="324"/>
      <c r="C574" s="70" t="s">
        <v>27</v>
      </c>
      <c r="D574" s="71">
        <v>159.30000000000001</v>
      </c>
      <c r="E574" s="71">
        <v>159.30000000000001</v>
      </c>
      <c r="F574" s="72"/>
      <c r="G574" s="80">
        <f t="shared" si="29"/>
        <v>1</v>
      </c>
      <c r="H574" s="213"/>
      <c r="I574" s="216"/>
      <c r="J574" s="219"/>
      <c r="K574" s="301"/>
      <c r="L574" s="76"/>
      <c r="M574" s="76"/>
      <c r="N574" s="76"/>
      <c r="O574" s="76"/>
      <c r="P574" s="213"/>
      <c r="Q574" s="228"/>
    </row>
    <row r="575" spans="1:17" ht="16.5" thickBot="1" x14ac:dyDescent="0.3">
      <c r="A575" s="281"/>
      <c r="B575" s="283"/>
      <c r="C575" s="70" t="s">
        <v>37</v>
      </c>
      <c r="D575" s="71">
        <v>0.1</v>
      </c>
      <c r="E575" s="71">
        <v>0.1</v>
      </c>
      <c r="F575" s="72"/>
      <c r="G575" s="91">
        <f t="shared" si="29"/>
        <v>1</v>
      </c>
      <c r="H575" s="214"/>
      <c r="I575" s="217"/>
      <c r="J575" s="220"/>
      <c r="K575" s="242"/>
      <c r="L575" s="76"/>
      <c r="M575" s="76"/>
      <c r="N575" s="76"/>
      <c r="O575" s="76"/>
      <c r="P575" s="214"/>
      <c r="Q575" s="229"/>
    </row>
    <row r="576" spans="1:17" ht="94.5" x14ac:dyDescent="0.25">
      <c r="A576" s="280" t="s">
        <v>1067</v>
      </c>
      <c r="B576" s="282" t="s">
        <v>1068</v>
      </c>
      <c r="C576" s="61"/>
      <c r="D576" s="62">
        <f>SUM(D577:D578)</f>
        <v>714</v>
      </c>
      <c r="E576" s="62">
        <f>SUM(E577:E578)</f>
        <v>714</v>
      </c>
      <c r="F576" s="63"/>
      <c r="G576" s="79">
        <f t="shared" si="29"/>
        <v>1</v>
      </c>
      <c r="H576" s="61" t="s">
        <v>1069</v>
      </c>
      <c r="I576" s="65" t="s">
        <v>464</v>
      </c>
      <c r="J576" s="66">
        <v>68</v>
      </c>
      <c r="K576" s="89">
        <v>68</v>
      </c>
      <c r="L576" s="68" t="s">
        <v>159</v>
      </c>
      <c r="M576" s="68" t="s">
        <v>15</v>
      </c>
      <c r="N576" s="68" t="s">
        <v>159</v>
      </c>
      <c r="O576" s="68" t="s">
        <v>15</v>
      </c>
      <c r="P576" s="61" t="s">
        <v>1070</v>
      </c>
      <c r="Q576" s="90"/>
    </row>
    <row r="577" spans="1:17" ht="78.75" x14ac:dyDescent="0.25">
      <c r="A577" s="284"/>
      <c r="B577" s="324"/>
      <c r="C577" s="70" t="s">
        <v>1071</v>
      </c>
      <c r="D577" s="71">
        <v>520.29999999999995</v>
      </c>
      <c r="E577" s="71">
        <v>520.29999999999995</v>
      </c>
      <c r="F577" s="72"/>
      <c r="G577" s="80">
        <f t="shared" si="29"/>
        <v>1</v>
      </c>
      <c r="H577" s="70" t="s">
        <v>1072</v>
      </c>
      <c r="I577" s="73" t="s">
        <v>464</v>
      </c>
      <c r="J577" s="166">
        <v>40000</v>
      </c>
      <c r="K577" s="176">
        <v>68698</v>
      </c>
      <c r="L577" s="76" t="s">
        <v>1073</v>
      </c>
      <c r="M577" s="76" t="s">
        <v>15</v>
      </c>
      <c r="N577" s="76" t="s">
        <v>1073</v>
      </c>
      <c r="O577" s="76" t="s">
        <v>15</v>
      </c>
      <c r="P577" s="70" t="s">
        <v>1074</v>
      </c>
      <c r="Q577" s="77" t="s">
        <v>1710</v>
      </c>
    </row>
    <row r="578" spans="1:17" ht="63.75" thickBot="1" x14ac:dyDescent="0.3">
      <c r="A578" s="281"/>
      <c r="B578" s="283"/>
      <c r="C578" s="70" t="s">
        <v>27</v>
      </c>
      <c r="D578" s="71">
        <v>193.7</v>
      </c>
      <c r="E578" s="71">
        <v>193.7</v>
      </c>
      <c r="F578" s="72"/>
      <c r="G578" s="91">
        <f t="shared" si="29"/>
        <v>1</v>
      </c>
      <c r="H578" s="70" t="s">
        <v>1075</v>
      </c>
      <c r="I578" s="73" t="s">
        <v>464</v>
      </c>
      <c r="J578" s="114">
        <v>2000</v>
      </c>
      <c r="K578" s="177">
        <v>3475</v>
      </c>
      <c r="L578" s="76" t="s">
        <v>925</v>
      </c>
      <c r="M578" s="76" t="s">
        <v>15</v>
      </c>
      <c r="N578" s="76" t="s">
        <v>925</v>
      </c>
      <c r="O578" s="76" t="s">
        <v>15</v>
      </c>
      <c r="P578" s="70" t="s">
        <v>1076</v>
      </c>
      <c r="Q578" s="77" t="s">
        <v>1710</v>
      </c>
    </row>
    <row r="579" spans="1:17" ht="94.5" x14ac:dyDescent="0.25">
      <c r="A579" s="280" t="s">
        <v>1077</v>
      </c>
      <c r="B579" s="282" t="s">
        <v>1078</v>
      </c>
      <c r="C579" s="61"/>
      <c r="D579" s="62">
        <f>SUM(D580:D583)</f>
        <v>272.89999999999998</v>
      </c>
      <c r="E579" s="62">
        <f>SUM(E580:E583)</f>
        <v>272.89999999999998</v>
      </c>
      <c r="F579" s="63"/>
      <c r="G579" s="79">
        <f t="shared" si="29"/>
        <v>1</v>
      </c>
      <c r="H579" s="61" t="s">
        <v>1079</v>
      </c>
      <c r="I579" s="65" t="s">
        <v>464</v>
      </c>
      <c r="J579" s="66">
        <v>1</v>
      </c>
      <c r="K579" s="89">
        <v>1</v>
      </c>
      <c r="L579" s="68" t="s">
        <v>29</v>
      </c>
      <c r="M579" s="68" t="s">
        <v>15</v>
      </c>
      <c r="N579" s="68" t="s">
        <v>29</v>
      </c>
      <c r="O579" s="68" t="s">
        <v>15</v>
      </c>
      <c r="P579" s="61" t="s">
        <v>1080</v>
      </c>
      <c r="Q579" s="69"/>
    </row>
    <row r="580" spans="1:17" ht="63" x14ac:dyDescent="0.25">
      <c r="A580" s="284"/>
      <c r="B580" s="324"/>
      <c r="C580" s="70" t="s">
        <v>1071</v>
      </c>
      <c r="D580" s="71">
        <v>272.89999999999998</v>
      </c>
      <c r="E580" s="71">
        <v>272.89999999999998</v>
      </c>
      <c r="F580" s="72"/>
      <c r="G580" s="80">
        <f t="shared" si="29"/>
        <v>1</v>
      </c>
      <c r="H580" s="70" t="s">
        <v>1081</v>
      </c>
      <c r="I580" s="73" t="s">
        <v>464</v>
      </c>
      <c r="J580" s="114">
        <v>20000</v>
      </c>
      <c r="K580" s="177">
        <v>22523</v>
      </c>
      <c r="L580" s="76" t="s">
        <v>1082</v>
      </c>
      <c r="M580" s="76" t="s">
        <v>15</v>
      </c>
      <c r="N580" s="76" t="s">
        <v>1082</v>
      </c>
      <c r="O580" s="76" t="s">
        <v>15</v>
      </c>
      <c r="P580" s="70" t="s">
        <v>1083</v>
      </c>
      <c r="Q580" s="77" t="s">
        <v>1711</v>
      </c>
    </row>
    <row r="581" spans="1:17" ht="63" x14ac:dyDescent="0.25">
      <c r="A581" s="284"/>
      <c r="B581" s="324"/>
      <c r="C581" s="70"/>
      <c r="D581" s="71"/>
      <c r="E581" s="71"/>
      <c r="F581" s="72"/>
      <c r="G581" s="72"/>
      <c r="H581" s="70" t="s">
        <v>1084</v>
      </c>
      <c r="I581" s="73" t="s">
        <v>464</v>
      </c>
      <c r="J581" s="74">
        <v>800</v>
      </c>
      <c r="K581" s="111">
        <v>824</v>
      </c>
      <c r="L581" s="76" t="s">
        <v>878</v>
      </c>
      <c r="M581" s="76" t="s">
        <v>15</v>
      </c>
      <c r="N581" s="76" t="s">
        <v>878</v>
      </c>
      <c r="O581" s="76" t="s">
        <v>15</v>
      </c>
      <c r="P581" s="70" t="s">
        <v>1085</v>
      </c>
      <c r="Q581" s="88"/>
    </row>
    <row r="582" spans="1:17" ht="63" x14ac:dyDescent="0.25">
      <c r="A582" s="284"/>
      <c r="B582" s="324"/>
      <c r="C582" s="70"/>
      <c r="D582" s="71"/>
      <c r="E582" s="71"/>
      <c r="F582" s="72"/>
      <c r="G582" s="72"/>
      <c r="H582" s="70" t="s">
        <v>1086</v>
      </c>
      <c r="I582" s="73" t="s">
        <v>464</v>
      </c>
      <c r="J582" s="74">
        <v>300</v>
      </c>
      <c r="K582" s="111">
        <v>561</v>
      </c>
      <c r="L582" s="76" t="s">
        <v>869</v>
      </c>
      <c r="M582" s="76" t="s">
        <v>15</v>
      </c>
      <c r="N582" s="76" t="s">
        <v>869</v>
      </c>
      <c r="O582" s="76" t="s">
        <v>15</v>
      </c>
      <c r="P582" s="70" t="s">
        <v>1087</v>
      </c>
      <c r="Q582" s="77" t="s">
        <v>1712</v>
      </c>
    </row>
    <row r="583" spans="1:17" ht="138.75" customHeight="1" thickBot="1" x14ac:dyDescent="0.3">
      <c r="A583" s="281"/>
      <c r="B583" s="283"/>
      <c r="C583" s="70"/>
      <c r="D583" s="71"/>
      <c r="E583" s="71"/>
      <c r="F583" s="72"/>
      <c r="G583" s="72"/>
      <c r="H583" s="70" t="s">
        <v>1088</v>
      </c>
      <c r="I583" s="73" t="s">
        <v>464</v>
      </c>
      <c r="J583" s="74">
        <v>80</v>
      </c>
      <c r="K583" s="111">
        <v>105</v>
      </c>
      <c r="L583" s="76" t="s">
        <v>20</v>
      </c>
      <c r="M583" s="76" t="s">
        <v>15</v>
      </c>
      <c r="N583" s="76" t="s">
        <v>20</v>
      </c>
      <c r="O583" s="76" t="s">
        <v>15</v>
      </c>
      <c r="P583" s="70" t="s">
        <v>1089</v>
      </c>
      <c r="Q583" s="77"/>
    </row>
    <row r="584" spans="1:17" ht="63.75" customHeight="1" x14ac:dyDescent="0.25">
      <c r="A584" s="280" t="s">
        <v>1090</v>
      </c>
      <c r="B584" s="282" t="s">
        <v>1091</v>
      </c>
      <c r="C584" s="61" t="s">
        <v>1071</v>
      </c>
      <c r="D584" s="62">
        <f>SUM(D585:D586)+87</f>
        <v>87</v>
      </c>
      <c r="E584" s="62">
        <f>SUM(E585:E586)+87</f>
        <v>87</v>
      </c>
      <c r="F584" s="63"/>
      <c r="G584" s="79">
        <f>SUM(E584/D584)</f>
        <v>1</v>
      </c>
      <c r="H584" s="61" t="s">
        <v>1092</v>
      </c>
      <c r="I584" s="65" t="s">
        <v>464</v>
      </c>
      <c r="J584" s="66">
        <v>350</v>
      </c>
      <c r="K584" s="122">
        <v>1555</v>
      </c>
      <c r="L584" s="68" t="s">
        <v>556</v>
      </c>
      <c r="M584" s="68" t="s">
        <v>15</v>
      </c>
      <c r="N584" s="68" t="s">
        <v>556</v>
      </c>
      <c r="O584" s="68" t="s">
        <v>15</v>
      </c>
      <c r="P584" s="61" t="s">
        <v>1093</v>
      </c>
      <c r="Q584" s="69" t="s">
        <v>1713</v>
      </c>
    </row>
    <row r="585" spans="1:17" ht="63" x14ac:dyDescent="0.25">
      <c r="A585" s="284"/>
      <c r="B585" s="324"/>
      <c r="C585" s="70"/>
      <c r="D585" s="71"/>
      <c r="E585" s="71"/>
      <c r="F585" s="72"/>
      <c r="G585" s="72"/>
      <c r="H585" s="70" t="s">
        <v>1094</v>
      </c>
      <c r="I585" s="73" t="s">
        <v>464</v>
      </c>
      <c r="J585" s="74">
        <v>90</v>
      </c>
      <c r="K585" s="111">
        <v>244</v>
      </c>
      <c r="L585" s="76" t="s">
        <v>211</v>
      </c>
      <c r="M585" s="76" t="s">
        <v>15</v>
      </c>
      <c r="N585" s="76" t="s">
        <v>211</v>
      </c>
      <c r="O585" s="76" t="s">
        <v>15</v>
      </c>
      <c r="P585" s="70" t="s">
        <v>1095</v>
      </c>
      <c r="Q585" s="77" t="s">
        <v>1714</v>
      </c>
    </row>
    <row r="586" spans="1:17" ht="63.75" thickBot="1" x14ac:dyDescent="0.3">
      <c r="A586" s="281"/>
      <c r="B586" s="283"/>
      <c r="C586" s="70"/>
      <c r="D586" s="71"/>
      <c r="E586" s="71"/>
      <c r="F586" s="72"/>
      <c r="G586" s="72"/>
      <c r="H586" s="70" t="s">
        <v>1096</v>
      </c>
      <c r="I586" s="73" t="s">
        <v>464</v>
      </c>
      <c r="J586" s="74">
        <v>10</v>
      </c>
      <c r="K586" s="111">
        <v>16</v>
      </c>
      <c r="L586" s="76" t="s">
        <v>114</v>
      </c>
      <c r="M586" s="76" t="s">
        <v>15</v>
      </c>
      <c r="N586" s="76" t="s">
        <v>114</v>
      </c>
      <c r="O586" s="76" t="s">
        <v>15</v>
      </c>
      <c r="P586" s="70" t="s">
        <v>1097</v>
      </c>
      <c r="Q586" s="77" t="s">
        <v>1715</v>
      </c>
    </row>
    <row r="587" spans="1:17" ht="32.25" thickBot="1" x14ac:dyDescent="0.3">
      <c r="A587" s="53" t="s">
        <v>1098</v>
      </c>
      <c r="B587" s="54" t="s">
        <v>1099</v>
      </c>
      <c r="C587" s="55"/>
      <c r="D587" s="56">
        <f>SUM(D588:D588)</f>
        <v>209.6</v>
      </c>
      <c r="E587" s="56">
        <f>SUM(E588:E588)</f>
        <v>163.30000000000001</v>
      </c>
      <c r="F587" s="56">
        <f>SUM(F588:F588)</f>
        <v>46.3</v>
      </c>
      <c r="G587" s="57">
        <f t="shared" ref="G587:G593" si="31">SUM(E587/D587)</f>
        <v>0.77910305343511455</v>
      </c>
      <c r="H587" s="55"/>
      <c r="I587" s="58"/>
      <c r="J587" s="59"/>
      <c r="K587" s="59"/>
      <c r="L587" s="60"/>
      <c r="M587" s="60"/>
      <c r="N587" s="60"/>
      <c r="O587" s="60"/>
      <c r="P587" s="210"/>
      <c r="Q587" s="211"/>
    </row>
    <row r="588" spans="1:17" ht="126.75" thickBot="1" x14ac:dyDescent="0.3">
      <c r="A588" s="93" t="s">
        <v>1100</v>
      </c>
      <c r="B588" s="94" t="s">
        <v>1101</v>
      </c>
      <c r="C588" s="61" t="s">
        <v>27</v>
      </c>
      <c r="D588" s="95">
        <v>209.6</v>
      </c>
      <c r="E588" s="95">
        <v>163.30000000000001</v>
      </c>
      <c r="F588" s="96">
        <v>46.3</v>
      </c>
      <c r="G588" s="79">
        <f t="shared" si="31"/>
        <v>0.77910305343511455</v>
      </c>
      <c r="H588" s="61" t="s">
        <v>1102</v>
      </c>
      <c r="I588" s="65" t="s">
        <v>19</v>
      </c>
      <c r="J588" s="66">
        <v>2</v>
      </c>
      <c r="K588" s="145">
        <v>1</v>
      </c>
      <c r="L588" s="68"/>
      <c r="M588" s="68"/>
      <c r="N588" s="68"/>
      <c r="O588" s="68"/>
      <c r="P588" s="61" t="s">
        <v>1103</v>
      </c>
      <c r="Q588" s="132" t="s">
        <v>1716</v>
      </c>
    </row>
    <row r="589" spans="1:17" ht="79.5" thickBot="1" x14ac:dyDescent="0.3">
      <c r="A589" s="45" t="s">
        <v>1104</v>
      </c>
      <c r="B589" s="46" t="s">
        <v>1105</v>
      </c>
      <c r="C589" s="47"/>
      <c r="D589" s="48">
        <f>SUM(D590:D590)</f>
        <v>137.30000000000001</v>
      </c>
      <c r="E589" s="48">
        <f>SUM(E590:E590)</f>
        <v>98.800000000000011</v>
      </c>
      <c r="F589" s="48">
        <f>SUM(F590:F590)</f>
        <v>38.4</v>
      </c>
      <c r="G589" s="49">
        <f t="shared" si="31"/>
        <v>0.71959213401310995</v>
      </c>
      <c r="H589" s="47" t="s">
        <v>1106</v>
      </c>
      <c r="I589" s="50" t="s">
        <v>464</v>
      </c>
      <c r="J589" s="178">
        <v>2900</v>
      </c>
      <c r="K589" s="178">
        <v>2234</v>
      </c>
      <c r="L589" s="52" t="s">
        <v>669</v>
      </c>
      <c r="M589" s="52" t="s">
        <v>15</v>
      </c>
      <c r="N589" s="52" t="s">
        <v>904</v>
      </c>
      <c r="O589" s="52" t="s">
        <v>15</v>
      </c>
      <c r="P589" s="230"/>
      <c r="Q589" s="231"/>
    </row>
    <row r="590" spans="1:17" ht="95.25" thickBot="1" x14ac:dyDescent="0.3">
      <c r="A590" s="53" t="s">
        <v>1107</v>
      </c>
      <c r="B590" s="54" t="s">
        <v>1108</v>
      </c>
      <c r="C590" s="55"/>
      <c r="D590" s="56">
        <f>D591+D595+D597+D601</f>
        <v>137.30000000000001</v>
      </c>
      <c r="E590" s="56">
        <f>E591+E595+E597+E601-0.1</f>
        <v>98.800000000000011</v>
      </c>
      <c r="F590" s="56">
        <f>F591+F595+F597+F601</f>
        <v>38.4</v>
      </c>
      <c r="G590" s="57">
        <f t="shared" si="31"/>
        <v>0.71959213401310995</v>
      </c>
      <c r="H590" s="55"/>
      <c r="I590" s="58"/>
      <c r="J590" s="179"/>
      <c r="K590" s="179"/>
      <c r="L590" s="60"/>
      <c r="M590" s="60"/>
      <c r="N590" s="60"/>
      <c r="O590" s="60"/>
      <c r="P590" s="210"/>
      <c r="Q590" s="211"/>
    </row>
    <row r="591" spans="1:17" ht="63" x14ac:dyDescent="0.25">
      <c r="A591" s="280" t="s">
        <v>1109</v>
      </c>
      <c r="B591" s="282" t="s">
        <v>1110</v>
      </c>
      <c r="C591" s="61"/>
      <c r="D591" s="62">
        <f>SUM(D592:D594)</f>
        <v>34</v>
      </c>
      <c r="E591" s="62">
        <f>SUM(E592:E594)</f>
        <v>32.799999999999997</v>
      </c>
      <c r="F591" s="63">
        <f>SUM(F592:F594)</f>
        <v>1.2</v>
      </c>
      <c r="G591" s="79">
        <f t="shared" si="31"/>
        <v>0.96470588235294108</v>
      </c>
      <c r="H591" s="61" t="s">
        <v>1111</v>
      </c>
      <c r="I591" s="65" t="s">
        <v>464</v>
      </c>
      <c r="J591" s="66">
        <v>2</v>
      </c>
      <c r="K591" s="145">
        <v>1</v>
      </c>
      <c r="L591" s="68" t="s">
        <v>42</v>
      </c>
      <c r="M591" s="68" t="s">
        <v>15</v>
      </c>
      <c r="N591" s="68" t="s">
        <v>42</v>
      </c>
      <c r="O591" s="68" t="s">
        <v>15</v>
      </c>
      <c r="P591" s="61" t="s">
        <v>1112</v>
      </c>
      <c r="Q591" s="69" t="s">
        <v>1717</v>
      </c>
    </row>
    <row r="592" spans="1:17" ht="63" x14ac:dyDescent="0.25">
      <c r="A592" s="284"/>
      <c r="B592" s="324"/>
      <c r="C592" s="70" t="s">
        <v>302</v>
      </c>
      <c r="D592" s="71">
        <v>30</v>
      </c>
      <c r="E592" s="71">
        <v>30</v>
      </c>
      <c r="F592" s="72"/>
      <c r="G592" s="80">
        <f t="shared" si="31"/>
        <v>1</v>
      </c>
      <c r="H592" s="70" t="s">
        <v>1113</v>
      </c>
      <c r="I592" s="73" t="s">
        <v>464</v>
      </c>
      <c r="J592" s="74">
        <v>5</v>
      </c>
      <c r="K592" s="110">
        <v>3</v>
      </c>
      <c r="L592" s="76" t="s">
        <v>58</v>
      </c>
      <c r="M592" s="76" t="s">
        <v>15</v>
      </c>
      <c r="N592" s="76" t="s">
        <v>58</v>
      </c>
      <c r="O592" s="76" t="s">
        <v>15</v>
      </c>
      <c r="P592" s="70" t="s">
        <v>1114</v>
      </c>
      <c r="Q592" s="77" t="s">
        <v>1717</v>
      </c>
    </row>
    <row r="593" spans="1:21" ht="63" x14ac:dyDescent="0.25">
      <c r="A593" s="284"/>
      <c r="B593" s="324"/>
      <c r="C593" s="70" t="s">
        <v>27</v>
      </c>
      <c r="D593" s="71">
        <v>4</v>
      </c>
      <c r="E593" s="71">
        <v>2.8</v>
      </c>
      <c r="F593" s="72">
        <v>1.2</v>
      </c>
      <c r="G593" s="91">
        <f t="shared" si="31"/>
        <v>0.7</v>
      </c>
      <c r="H593" s="70" t="s">
        <v>1115</v>
      </c>
      <c r="I593" s="73" t="s">
        <v>464</v>
      </c>
      <c r="J593" s="74">
        <v>2</v>
      </c>
      <c r="K593" s="75">
        <v>0</v>
      </c>
      <c r="L593" s="76" t="s">
        <v>42</v>
      </c>
      <c r="M593" s="76" t="s">
        <v>15</v>
      </c>
      <c r="N593" s="76" t="s">
        <v>42</v>
      </c>
      <c r="O593" s="76" t="s">
        <v>15</v>
      </c>
      <c r="P593" s="70" t="s">
        <v>1116</v>
      </c>
      <c r="Q593" s="77" t="s">
        <v>1717</v>
      </c>
    </row>
    <row r="594" spans="1:21" ht="63.75" thickBot="1" x14ac:dyDescent="0.3">
      <c r="A594" s="281"/>
      <c r="B594" s="283"/>
      <c r="C594" s="70"/>
      <c r="D594" s="71"/>
      <c r="E594" s="71"/>
      <c r="F594" s="72"/>
      <c r="G594" s="72"/>
      <c r="H594" s="70" t="s">
        <v>1117</v>
      </c>
      <c r="I594" s="73" t="s">
        <v>464</v>
      </c>
      <c r="J594" s="166">
        <v>1300</v>
      </c>
      <c r="K594" s="167">
        <v>1200</v>
      </c>
      <c r="L594" s="76" t="s">
        <v>785</v>
      </c>
      <c r="M594" s="76" t="s">
        <v>15</v>
      </c>
      <c r="N594" s="76" t="s">
        <v>785</v>
      </c>
      <c r="O594" s="76" t="s">
        <v>15</v>
      </c>
      <c r="P594" s="70" t="s">
        <v>1118</v>
      </c>
      <c r="Q594" s="77" t="s">
        <v>1718</v>
      </c>
    </row>
    <row r="595" spans="1:21" ht="38.25" customHeight="1" x14ac:dyDescent="0.25">
      <c r="A595" s="280" t="s">
        <v>1119</v>
      </c>
      <c r="B595" s="282" t="s">
        <v>1120</v>
      </c>
      <c r="C595" s="61"/>
      <c r="D595" s="62">
        <f>SUM(D596:D596)</f>
        <v>15</v>
      </c>
      <c r="E595" s="62">
        <f>SUM(E596:E596)</f>
        <v>8.1999999999999993</v>
      </c>
      <c r="F595" s="63">
        <f>SUM(F596:F596)</f>
        <v>6.8</v>
      </c>
      <c r="G595" s="79">
        <f t="shared" ref="G595:G605" si="32">SUM(E595/D595)</f>
        <v>0.54666666666666663</v>
      </c>
      <c r="H595" s="212" t="s">
        <v>1121</v>
      </c>
      <c r="I595" s="215" t="s">
        <v>464</v>
      </c>
      <c r="J595" s="312">
        <v>12</v>
      </c>
      <c r="K595" s="314">
        <v>3</v>
      </c>
      <c r="L595" s="68" t="s">
        <v>149</v>
      </c>
      <c r="M595" s="68" t="s">
        <v>15</v>
      </c>
      <c r="N595" s="68" t="s">
        <v>149</v>
      </c>
      <c r="O595" s="68" t="s">
        <v>15</v>
      </c>
      <c r="P595" s="212" t="s">
        <v>1122</v>
      </c>
      <c r="Q595" s="227" t="s">
        <v>1717</v>
      </c>
    </row>
    <row r="596" spans="1:21" ht="16.5" thickBot="1" x14ac:dyDescent="0.3">
      <c r="A596" s="281"/>
      <c r="B596" s="283"/>
      <c r="C596" s="70" t="s">
        <v>269</v>
      </c>
      <c r="D596" s="71">
        <v>15</v>
      </c>
      <c r="E596" s="71">
        <v>8.1999999999999993</v>
      </c>
      <c r="F596" s="72">
        <v>6.8</v>
      </c>
      <c r="G596" s="125">
        <f t="shared" si="32"/>
        <v>0.54666666666666663</v>
      </c>
      <c r="H596" s="214"/>
      <c r="I596" s="217"/>
      <c r="J596" s="313"/>
      <c r="K596" s="315"/>
      <c r="L596" s="76"/>
      <c r="M596" s="76"/>
      <c r="N596" s="76"/>
      <c r="O596" s="76"/>
      <c r="P596" s="214"/>
      <c r="Q596" s="229"/>
    </row>
    <row r="597" spans="1:21" ht="119.25" customHeight="1" x14ac:dyDescent="0.25">
      <c r="A597" s="280" t="s">
        <v>1123</v>
      </c>
      <c r="B597" s="282" t="s">
        <v>1124</v>
      </c>
      <c r="C597" s="61"/>
      <c r="D597" s="62">
        <f>SUM(D598:D600)</f>
        <v>18.8</v>
      </c>
      <c r="E597" s="62">
        <f>SUM(E598:E600)</f>
        <v>3.1</v>
      </c>
      <c r="F597" s="63">
        <f>SUM(F598:F600)</f>
        <v>15.7</v>
      </c>
      <c r="G597" s="79">
        <f t="shared" si="32"/>
        <v>0.16489361702127658</v>
      </c>
      <c r="H597" s="212" t="s">
        <v>1125</v>
      </c>
      <c r="I597" s="215" t="s">
        <v>464</v>
      </c>
      <c r="J597" s="218">
        <v>20</v>
      </c>
      <c r="K597" s="221">
        <v>13</v>
      </c>
      <c r="L597" s="68" t="s">
        <v>152</v>
      </c>
      <c r="M597" s="68" t="s">
        <v>15</v>
      </c>
      <c r="N597" s="68" t="s">
        <v>15</v>
      </c>
      <c r="O597" s="68" t="s">
        <v>15</v>
      </c>
      <c r="P597" s="212" t="s">
        <v>1126</v>
      </c>
      <c r="Q597" s="227" t="s">
        <v>1719</v>
      </c>
    </row>
    <row r="598" spans="1:21" ht="15.75" x14ac:dyDescent="0.25">
      <c r="A598" s="284"/>
      <c r="B598" s="324"/>
      <c r="C598" s="70" t="s">
        <v>37</v>
      </c>
      <c r="D598" s="71">
        <v>4.5999999999999996</v>
      </c>
      <c r="E598" s="71">
        <v>2.1</v>
      </c>
      <c r="F598" s="72">
        <v>2.5</v>
      </c>
      <c r="G598" s="80">
        <f t="shared" si="32"/>
        <v>0.45652173913043481</v>
      </c>
      <c r="H598" s="213"/>
      <c r="I598" s="216"/>
      <c r="J598" s="219"/>
      <c r="K598" s="222"/>
      <c r="L598" s="76"/>
      <c r="M598" s="76"/>
      <c r="N598" s="76"/>
      <c r="O598" s="76"/>
      <c r="P598" s="213"/>
      <c r="Q598" s="228"/>
    </row>
    <row r="599" spans="1:21" ht="15.75" x14ac:dyDescent="0.25">
      <c r="A599" s="284"/>
      <c r="B599" s="324"/>
      <c r="C599" s="70" t="s">
        <v>175</v>
      </c>
      <c r="D599" s="71">
        <v>1.2</v>
      </c>
      <c r="E599" s="71">
        <v>0.1</v>
      </c>
      <c r="F599" s="72">
        <v>1.1000000000000001</v>
      </c>
      <c r="G599" s="80">
        <f t="shared" si="32"/>
        <v>8.3333333333333343E-2</v>
      </c>
      <c r="H599" s="213"/>
      <c r="I599" s="216"/>
      <c r="J599" s="219"/>
      <c r="K599" s="222"/>
      <c r="L599" s="76"/>
      <c r="M599" s="76"/>
      <c r="N599" s="76"/>
      <c r="O599" s="76"/>
      <c r="P599" s="213"/>
      <c r="Q599" s="228"/>
    </row>
    <row r="600" spans="1:21" ht="25.5" customHeight="1" thickBot="1" x14ac:dyDescent="0.3">
      <c r="A600" s="281"/>
      <c r="B600" s="283"/>
      <c r="C600" s="70" t="s">
        <v>229</v>
      </c>
      <c r="D600" s="71">
        <v>13</v>
      </c>
      <c r="E600" s="71">
        <v>0.9</v>
      </c>
      <c r="F600" s="72">
        <v>12.1</v>
      </c>
      <c r="G600" s="91">
        <f t="shared" si="32"/>
        <v>6.9230769230769235E-2</v>
      </c>
      <c r="H600" s="214"/>
      <c r="I600" s="217"/>
      <c r="J600" s="220"/>
      <c r="K600" s="223"/>
      <c r="L600" s="76"/>
      <c r="M600" s="76"/>
      <c r="N600" s="76"/>
      <c r="O600" s="76"/>
      <c r="P600" s="214"/>
      <c r="Q600" s="229"/>
    </row>
    <row r="601" spans="1:21" ht="63.75" customHeight="1" x14ac:dyDescent="0.25">
      <c r="A601" s="280" t="s">
        <v>1127</v>
      </c>
      <c r="B601" s="282" t="s">
        <v>1128</v>
      </c>
      <c r="C601" s="61"/>
      <c r="D601" s="62">
        <f>SUM(D602:D603)</f>
        <v>69.5</v>
      </c>
      <c r="E601" s="62">
        <f>SUM(E602:E603)</f>
        <v>54.8</v>
      </c>
      <c r="F601" s="63">
        <f>SUM(F602:F603)</f>
        <v>14.7</v>
      </c>
      <c r="G601" s="79">
        <f t="shared" si="32"/>
        <v>0.78848920863309346</v>
      </c>
      <c r="H601" s="212" t="s">
        <v>1129</v>
      </c>
      <c r="I601" s="215" t="s">
        <v>464</v>
      </c>
      <c r="J601" s="312">
        <v>1000</v>
      </c>
      <c r="K601" s="317">
        <v>1014</v>
      </c>
      <c r="L601" s="68" t="s">
        <v>793</v>
      </c>
      <c r="M601" s="68" t="s">
        <v>15</v>
      </c>
      <c r="N601" s="68" t="s">
        <v>797</v>
      </c>
      <c r="O601" s="68" t="s">
        <v>15</v>
      </c>
      <c r="P601" s="212" t="s">
        <v>1131</v>
      </c>
      <c r="Q601" s="227" t="s">
        <v>1720</v>
      </c>
    </row>
    <row r="602" spans="1:21" ht="15.75" x14ac:dyDescent="0.25">
      <c r="A602" s="284"/>
      <c r="B602" s="324"/>
      <c r="C602" s="70" t="s">
        <v>175</v>
      </c>
      <c r="D602" s="71">
        <v>10.5</v>
      </c>
      <c r="E602" s="71">
        <v>8.1999999999999993</v>
      </c>
      <c r="F602" s="72">
        <v>2.2999999999999998</v>
      </c>
      <c r="G602" s="80">
        <f t="shared" si="32"/>
        <v>0.78095238095238084</v>
      </c>
      <c r="H602" s="213"/>
      <c r="I602" s="216"/>
      <c r="J602" s="316"/>
      <c r="K602" s="303"/>
      <c r="L602" s="76"/>
      <c r="M602" s="76"/>
      <c r="N602" s="76"/>
      <c r="O602" s="76"/>
      <c r="P602" s="213"/>
      <c r="Q602" s="228"/>
    </row>
    <row r="603" spans="1:21" ht="16.5" thickBot="1" x14ac:dyDescent="0.3">
      <c r="A603" s="281"/>
      <c r="B603" s="283"/>
      <c r="C603" s="70" t="s">
        <v>229</v>
      </c>
      <c r="D603" s="71">
        <v>59</v>
      </c>
      <c r="E603" s="71">
        <v>46.6</v>
      </c>
      <c r="F603" s="72">
        <v>12.4</v>
      </c>
      <c r="G603" s="91">
        <f t="shared" si="32"/>
        <v>0.78983050847457625</v>
      </c>
      <c r="H603" s="214"/>
      <c r="I603" s="217"/>
      <c r="J603" s="313"/>
      <c r="K603" s="304"/>
      <c r="L603" s="76"/>
      <c r="M603" s="76"/>
      <c r="N603" s="76"/>
      <c r="O603" s="76"/>
      <c r="P603" s="214"/>
      <c r="Q603" s="229"/>
    </row>
    <row r="604" spans="1:21" ht="48" thickBot="1" x14ac:dyDescent="0.3">
      <c r="A604" s="37" t="s">
        <v>1132</v>
      </c>
      <c r="B604" s="38" t="s">
        <v>1133</v>
      </c>
      <c r="C604" s="39"/>
      <c r="D604" s="40">
        <f>D605+D715+D720+D737</f>
        <v>47280.800000000003</v>
      </c>
      <c r="E604" s="40">
        <f>E605+E715+E720+E737</f>
        <v>44426.200000000004</v>
      </c>
      <c r="F604" s="40">
        <f>F605+F715+F720+F737-0.1</f>
        <v>2854.6000000000004</v>
      </c>
      <c r="G604" s="41">
        <f t="shared" si="32"/>
        <v>0.93962454103991477</v>
      </c>
      <c r="H604" s="39"/>
      <c r="I604" s="42"/>
      <c r="J604" s="43"/>
      <c r="K604" s="43"/>
      <c r="L604" s="44"/>
      <c r="M604" s="44"/>
      <c r="N604" s="44"/>
      <c r="O604" s="44"/>
      <c r="P604" s="267"/>
      <c r="Q604" s="268"/>
    </row>
    <row r="605" spans="1:21" ht="114.75" customHeight="1" x14ac:dyDescent="0.25">
      <c r="A605" s="254" t="s">
        <v>1134</v>
      </c>
      <c r="B605" s="256" t="s">
        <v>1135</v>
      </c>
      <c r="C605" s="258"/>
      <c r="D605" s="260">
        <f>D606+D607+D608+D615+D680+D690+D694+D699+D702+D705+D710+D712-0.1</f>
        <v>45433.8</v>
      </c>
      <c r="E605" s="260">
        <f>E606+E607+E608+E615+E680+E690+E694+E699+E702+E705+E710+E712</f>
        <v>43403.700000000004</v>
      </c>
      <c r="F605" s="260">
        <f>F606+F607+F608+F615+F680+F690+F694+F699+F702+F705+F710+F712+0.1</f>
        <v>2030.2000000000003</v>
      </c>
      <c r="G605" s="273">
        <f t="shared" si="32"/>
        <v>0.95531740686449296</v>
      </c>
      <c r="H605" s="47" t="s">
        <v>1136</v>
      </c>
      <c r="I605" s="50" t="s">
        <v>14</v>
      </c>
      <c r="J605" s="51">
        <v>42</v>
      </c>
      <c r="K605" s="51">
        <v>52</v>
      </c>
      <c r="L605" s="52" t="s">
        <v>1137</v>
      </c>
      <c r="M605" s="52" t="s">
        <v>15</v>
      </c>
      <c r="N605" s="52" t="s">
        <v>924</v>
      </c>
      <c r="O605" s="52" t="s">
        <v>15</v>
      </c>
      <c r="P605" s="306"/>
      <c r="Q605" s="307"/>
      <c r="S605" s="3"/>
      <c r="T605" s="10" t="s">
        <v>1</v>
      </c>
      <c r="U605" s="10" t="s">
        <v>1551</v>
      </c>
    </row>
    <row r="606" spans="1:21" ht="94.5" x14ac:dyDescent="0.25">
      <c r="A606" s="269"/>
      <c r="B606" s="270"/>
      <c r="C606" s="271"/>
      <c r="D606" s="272"/>
      <c r="E606" s="272"/>
      <c r="F606" s="272"/>
      <c r="G606" s="274"/>
      <c r="H606" s="105" t="s">
        <v>1138</v>
      </c>
      <c r="I606" s="107" t="s">
        <v>14</v>
      </c>
      <c r="J606" s="108">
        <v>30</v>
      </c>
      <c r="K606" s="108">
        <v>33</v>
      </c>
      <c r="L606" s="144" t="s">
        <v>171</v>
      </c>
      <c r="M606" s="144" t="s">
        <v>15</v>
      </c>
      <c r="N606" s="144" t="s">
        <v>171</v>
      </c>
      <c r="O606" s="144" t="s">
        <v>15</v>
      </c>
      <c r="P606" s="308"/>
      <c r="Q606" s="309"/>
      <c r="S606" s="7"/>
      <c r="T606" s="14" t="s">
        <v>1552</v>
      </c>
      <c r="U606" s="11">
        <v>15</v>
      </c>
    </row>
    <row r="607" spans="1:21" ht="140.25" customHeight="1" thickBot="1" x14ac:dyDescent="0.3">
      <c r="A607" s="255"/>
      <c r="B607" s="257"/>
      <c r="C607" s="259"/>
      <c r="D607" s="261"/>
      <c r="E607" s="261"/>
      <c r="F607" s="261"/>
      <c r="G607" s="275"/>
      <c r="H607" s="105" t="s">
        <v>1139</v>
      </c>
      <c r="I607" s="107" t="s">
        <v>14</v>
      </c>
      <c r="J607" s="108">
        <v>7</v>
      </c>
      <c r="K607" s="108">
        <v>9.3000000000000007</v>
      </c>
      <c r="L607" s="144" t="s">
        <v>109</v>
      </c>
      <c r="M607" s="144" t="s">
        <v>15</v>
      </c>
      <c r="N607" s="144" t="s">
        <v>109</v>
      </c>
      <c r="O607" s="144" t="s">
        <v>15</v>
      </c>
      <c r="P607" s="310"/>
      <c r="Q607" s="311"/>
      <c r="S607" s="4"/>
      <c r="T607" s="14" t="s">
        <v>1556</v>
      </c>
      <c r="U607" s="11"/>
    </row>
    <row r="608" spans="1:21" ht="79.5" thickBot="1" x14ac:dyDescent="0.3">
      <c r="A608" s="53" t="s">
        <v>1140</v>
      </c>
      <c r="B608" s="54" t="s">
        <v>1141</v>
      </c>
      <c r="C608" s="55"/>
      <c r="D608" s="56">
        <f>D609+D611+D612</f>
        <v>2679.9</v>
      </c>
      <c r="E608" s="56">
        <f>E609+E611+E612</f>
        <v>2670.7999999999997</v>
      </c>
      <c r="F608" s="56">
        <f>F609+F611+F612</f>
        <v>9.1</v>
      </c>
      <c r="G608" s="57">
        <f>SUM(E608/D608)</f>
        <v>0.99660435090861588</v>
      </c>
      <c r="H608" s="55"/>
      <c r="I608" s="58"/>
      <c r="J608" s="59"/>
      <c r="K608" s="59"/>
      <c r="L608" s="60"/>
      <c r="M608" s="60"/>
      <c r="N608" s="60"/>
      <c r="O608" s="60"/>
      <c r="P608" s="210"/>
      <c r="Q608" s="211"/>
      <c r="S608" s="6"/>
      <c r="T608" s="14" t="s">
        <v>1557</v>
      </c>
      <c r="U608" s="11">
        <v>10</v>
      </c>
    </row>
    <row r="609" spans="1:21" ht="76.5" customHeight="1" x14ac:dyDescent="0.25">
      <c r="A609" s="280" t="s">
        <v>1142</v>
      </c>
      <c r="B609" s="282" t="s">
        <v>1143</v>
      </c>
      <c r="C609" s="61" t="s">
        <v>1071</v>
      </c>
      <c r="D609" s="62">
        <f>SUM(D610:D610)+1982</f>
        <v>1982</v>
      </c>
      <c r="E609" s="62">
        <f>SUM(E610:E610)+1982</f>
        <v>1982</v>
      </c>
      <c r="F609" s="63"/>
      <c r="G609" s="79">
        <f>SUM(E609/D609)</f>
        <v>1</v>
      </c>
      <c r="H609" s="61" t="s">
        <v>1144</v>
      </c>
      <c r="I609" s="65" t="s">
        <v>464</v>
      </c>
      <c r="J609" s="66">
        <v>3</v>
      </c>
      <c r="K609" s="109">
        <v>4</v>
      </c>
      <c r="L609" s="68" t="s">
        <v>59</v>
      </c>
      <c r="M609" s="68" t="s">
        <v>15</v>
      </c>
      <c r="N609" s="68" t="s">
        <v>59</v>
      </c>
      <c r="O609" s="68" t="s">
        <v>15</v>
      </c>
      <c r="P609" s="212" t="s">
        <v>1145</v>
      </c>
      <c r="Q609" s="227"/>
      <c r="S609" s="9"/>
      <c r="T609" s="14" t="s">
        <v>1555</v>
      </c>
      <c r="U609" s="19">
        <v>12</v>
      </c>
    </row>
    <row r="610" spans="1:21" ht="63.75" thickBot="1" x14ac:dyDescent="0.3">
      <c r="A610" s="281"/>
      <c r="B610" s="283"/>
      <c r="C610" s="70"/>
      <c r="D610" s="71"/>
      <c r="E610" s="71"/>
      <c r="F610" s="72"/>
      <c r="G610" s="125"/>
      <c r="H610" s="70" t="s">
        <v>1146</v>
      </c>
      <c r="I610" s="73" t="s">
        <v>464</v>
      </c>
      <c r="J610" s="74">
        <v>530</v>
      </c>
      <c r="K610" s="111">
        <v>580</v>
      </c>
      <c r="L610" s="76" t="s">
        <v>1147</v>
      </c>
      <c r="M610" s="76" t="s">
        <v>15</v>
      </c>
      <c r="N610" s="76" t="s">
        <v>1147</v>
      </c>
      <c r="O610" s="76" t="s">
        <v>15</v>
      </c>
      <c r="P610" s="214"/>
      <c r="Q610" s="229"/>
      <c r="S610" s="8"/>
      <c r="T610" s="14" t="s">
        <v>1553</v>
      </c>
      <c r="U610" s="13">
        <v>4</v>
      </c>
    </row>
    <row r="611" spans="1:21" ht="95.25" thickBot="1" x14ac:dyDescent="0.3">
      <c r="A611" s="93" t="s">
        <v>1148</v>
      </c>
      <c r="B611" s="94" t="s">
        <v>1149</v>
      </c>
      <c r="C611" s="61" t="s">
        <v>1071</v>
      </c>
      <c r="D611" s="95">
        <v>132.80000000000001</v>
      </c>
      <c r="E611" s="95">
        <v>123.7</v>
      </c>
      <c r="F611" s="96">
        <v>9.1</v>
      </c>
      <c r="G611" s="79">
        <f>SUM(E611/D611)</f>
        <v>0.93147590361445776</v>
      </c>
      <c r="H611" s="61" t="s">
        <v>1150</v>
      </c>
      <c r="I611" s="65" t="s">
        <v>464</v>
      </c>
      <c r="J611" s="66">
        <v>32</v>
      </c>
      <c r="K611" s="109">
        <v>39</v>
      </c>
      <c r="L611" s="68" t="s">
        <v>776</v>
      </c>
      <c r="M611" s="68" t="s">
        <v>15</v>
      </c>
      <c r="N611" s="68" t="s">
        <v>776</v>
      </c>
      <c r="O611" s="68" t="s">
        <v>15</v>
      </c>
      <c r="P611" s="61" t="s">
        <v>1152</v>
      </c>
      <c r="Q611" s="69" t="s">
        <v>1722</v>
      </c>
      <c r="S611" s="16"/>
      <c r="T611" s="17" t="s">
        <v>1554</v>
      </c>
      <c r="U611" s="13">
        <v>41</v>
      </c>
    </row>
    <row r="612" spans="1:21" ht="76.5" customHeight="1" x14ac:dyDescent="0.25">
      <c r="A612" s="280" t="s">
        <v>1153</v>
      </c>
      <c r="B612" s="282" t="s">
        <v>1154</v>
      </c>
      <c r="C612" s="61"/>
      <c r="D612" s="62">
        <f>SUM(D613:D614)</f>
        <v>565.1</v>
      </c>
      <c r="E612" s="62">
        <f>SUM(E613:E614)</f>
        <v>565.1</v>
      </c>
      <c r="F612" s="63"/>
      <c r="G612" s="79">
        <f>SUM(E612/D612)</f>
        <v>1</v>
      </c>
      <c r="H612" s="61" t="s">
        <v>1144</v>
      </c>
      <c r="I612" s="65" t="s">
        <v>464</v>
      </c>
      <c r="J612" s="66">
        <v>3</v>
      </c>
      <c r="K612" s="109">
        <v>4</v>
      </c>
      <c r="L612" s="68" t="s">
        <v>59</v>
      </c>
      <c r="M612" s="68" t="s">
        <v>15</v>
      </c>
      <c r="N612" s="68" t="s">
        <v>59</v>
      </c>
      <c r="O612" s="68" t="s">
        <v>15</v>
      </c>
      <c r="P612" s="61" t="s">
        <v>1155</v>
      </c>
      <c r="Q612" s="69"/>
    </row>
    <row r="613" spans="1:21" ht="63" x14ac:dyDescent="0.25">
      <c r="A613" s="284"/>
      <c r="B613" s="324"/>
      <c r="C613" s="70" t="s">
        <v>27</v>
      </c>
      <c r="D613" s="71">
        <v>565.1</v>
      </c>
      <c r="E613" s="71">
        <v>565.1</v>
      </c>
      <c r="F613" s="72"/>
      <c r="G613" s="80">
        <f>SUM(E613/D613)</f>
        <v>1</v>
      </c>
      <c r="H613" s="70" t="s">
        <v>1156</v>
      </c>
      <c r="I613" s="73" t="s">
        <v>464</v>
      </c>
      <c r="J613" s="74">
        <v>150</v>
      </c>
      <c r="K613" s="110">
        <v>130</v>
      </c>
      <c r="L613" s="76" t="s">
        <v>1157</v>
      </c>
      <c r="M613" s="76" t="s">
        <v>15</v>
      </c>
      <c r="N613" s="76" t="s">
        <v>1158</v>
      </c>
      <c r="O613" s="76" t="s">
        <v>15</v>
      </c>
      <c r="P613" s="246" t="s">
        <v>1721</v>
      </c>
      <c r="Q613" s="286"/>
    </row>
    <row r="614" spans="1:21" ht="95.25" thickBot="1" x14ac:dyDescent="0.3">
      <c r="A614" s="281"/>
      <c r="B614" s="283"/>
      <c r="C614" s="70"/>
      <c r="D614" s="71"/>
      <c r="E614" s="71"/>
      <c r="F614" s="72"/>
      <c r="G614" s="72"/>
      <c r="H614" s="70" t="s">
        <v>1159</v>
      </c>
      <c r="I614" s="73" t="s">
        <v>14</v>
      </c>
      <c r="J614" s="74">
        <v>80</v>
      </c>
      <c r="K614" s="111">
        <v>100</v>
      </c>
      <c r="L614" s="76" t="s">
        <v>1160</v>
      </c>
      <c r="M614" s="76" t="s">
        <v>15</v>
      </c>
      <c r="N614" s="76" t="s">
        <v>211</v>
      </c>
      <c r="O614" s="76" t="s">
        <v>15</v>
      </c>
      <c r="P614" s="214"/>
      <c r="Q614" s="229"/>
    </row>
    <row r="615" spans="1:21" ht="48" thickBot="1" x14ac:dyDescent="0.3">
      <c r="A615" s="53" t="s">
        <v>1161</v>
      </c>
      <c r="B615" s="54" t="s">
        <v>1162</v>
      </c>
      <c r="C615" s="55"/>
      <c r="D615" s="56">
        <f>D616+D625+D628+D637+D645+D648+D653+D657+D658+D662+D663+D666+D670+D675+D679+0.1</f>
        <v>10320.799999999999</v>
      </c>
      <c r="E615" s="56">
        <f>E616+E625+E628+E637+E645+E648+E653+E657+E658+E662+E663+E666+E670+E675+E679+0.1</f>
        <v>9250.5000000000018</v>
      </c>
      <c r="F615" s="56">
        <f>F616+F625+F628+F637+F645+F648+F653+F657+F658+F662+F663+F666+F670+F675+F679-0.2</f>
        <v>1070.3</v>
      </c>
      <c r="G615" s="57">
        <f t="shared" ref="G615:G660" si="33">SUM(E615/D615)</f>
        <v>0.89629679869777557</v>
      </c>
      <c r="H615" s="55"/>
      <c r="I615" s="58"/>
      <c r="J615" s="59"/>
      <c r="K615" s="59"/>
      <c r="L615" s="60"/>
      <c r="M615" s="60"/>
      <c r="N615" s="60"/>
      <c r="O615" s="60"/>
      <c r="P615" s="210"/>
      <c r="Q615" s="211"/>
    </row>
    <row r="616" spans="1:21" ht="102" customHeight="1" x14ac:dyDescent="0.25">
      <c r="A616" s="280" t="s">
        <v>1163</v>
      </c>
      <c r="B616" s="282" t="s">
        <v>1164</v>
      </c>
      <c r="C616" s="61"/>
      <c r="D616" s="62">
        <f>SUM(D617:D624)</f>
        <v>1757.0000000000002</v>
      </c>
      <c r="E616" s="62">
        <f>SUM(E617:E624)</f>
        <v>1740.3999999999999</v>
      </c>
      <c r="F616" s="63">
        <f>SUM(F617:F624)</f>
        <v>16.599999999999998</v>
      </c>
      <c r="G616" s="79">
        <f t="shared" si="33"/>
        <v>0.99055207740466689</v>
      </c>
      <c r="H616" s="61" t="s">
        <v>1165</v>
      </c>
      <c r="I616" s="65" t="s">
        <v>464</v>
      </c>
      <c r="J616" s="66">
        <v>18</v>
      </c>
      <c r="K616" s="109">
        <v>21</v>
      </c>
      <c r="L616" s="68" t="s">
        <v>761</v>
      </c>
      <c r="M616" s="68" t="s">
        <v>15</v>
      </c>
      <c r="N616" s="68" t="s">
        <v>761</v>
      </c>
      <c r="O616" s="68" t="s">
        <v>15</v>
      </c>
      <c r="P616" s="212" t="s">
        <v>1166</v>
      </c>
      <c r="Q616" s="262" t="s">
        <v>1594</v>
      </c>
    </row>
    <row r="617" spans="1:21" ht="34.5" customHeight="1" x14ac:dyDescent="0.25">
      <c r="A617" s="284"/>
      <c r="B617" s="324"/>
      <c r="C617" s="70" t="s">
        <v>37</v>
      </c>
      <c r="D617" s="71">
        <v>19.600000000000001</v>
      </c>
      <c r="E617" s="71">
        <v>19.600000000000001</v>
      </c>
      <c r="F617" s="72"/>
      <c r="G617" s="80">
        <f t="shared" si="33"/>
        <v>1</v>
      </c>
      <c r="H617" s="246" t="s">
        <v>1167</v>
      </c>
      <c r="I617" s="247" t="s">
        <v>464</v>
      </c>
      <c r="J617" s="287">
        <v>16000</v>
      </c>
      <c r="K617" s="302">
        <v>16109</v>
      </c>
      <c r="L617" s="76" t="s">
        <v>1168</v>
      </c>
      <c r="M617" s="76" t="s">
        <v>15</v>
      </c>
      <c r="N617" s="76" t="s">
        <v>1168</v>
      </c>
      <c r="O617" s="76" t="s">
        <v>15</v>
      </c>
      <c r="P617" s="213"/>
      <c r="Q617" s="264"/>
    </row>
    <row r="618" spans="1:21" ht="15.75" x14ac:dyDescent="0.25">
      <c r="A618" s="284"/>
      <c r="B618" s="324"/>
      <c r="C618" s="70" t="s">
        <v>27</v>
      </c>
      <c r="D618" s="71">
        <v>1104.2</v>
      </c>
      <c r="E618" s="71">
        <v>1104</v>
      </c>
      <c r="F618" s="72">
        <v>0.2</v>
      </c>
      <c r="G618" s="80">
        <f t="shared" si="33"/>
        <v>0.99981887339250131</v>
      </c>
      <c r="H618" s="213"/>
      <c r="I618" s="216"/>
      <c r="J618" s="288"/>
      <c r="K618" s="303"/>
      <c r="L618" s="76"/>
      <c r="M618" s="76"/>
      <c r="N618" s="76"/>
      <c r="O618" s="76"/>
      <c r="P618" s="213"/>
      <c r="Q618" s="264"/>
    </row>
    <row r="619" spans="1:21" ht="15.75" x14ac:dyDescent="0.25">
      <c r="A619" s="284"/>
      <c r="B619" s="324"/>
      <c r="C619" s="70" t="s">
        <v>160</v>
      </c>
      <c r="D619" s="71">
        <v>10</v>
      </c>
      <c r="E619" s="71"/>
      <c r="F619" s="72">
        <v>10</v>
      </c>
      <c r="G619" s="80">
        <f t="shared" si="33"/>
        <v>0</v>
      </c>
      <c r="H619" s="213"/>
      <c r="I619" s="216"/>
      <c r="J619" s="288"/>
      <c r="K619" s="303"/>
      <c r="L619" s="76"/>
      <c r="M619" s="76"/>
      <c r="N619" s="76"/>
      <c r="O619" s="76"/>
      <c r="P619" s="213"/>
      <c r="Q619" s="264"/>
    </row>
    <row r="620" spans="1:21" ht="15.75" x14ac:dyDescent="0.25">
      <c r="A620" s="284"/>
      <c r="B620" s="324"/>
      <c r="C620" s="70" t="s">
        <v>175</v>
      </c>
      <c r="D620" s="71">
        <v>31.7</v>
      </c>
      <c r="E620" s="71">
        <v>31.7</v>
      </c>
      <c r="F620" s="72"/>
      <c r="G620" s="80">
        <f t="shared" si="33"/>
        <v>1</v>
      </c>
      <c r="H620" s="213"/>
      <c r="I620" s="216"/>
      <c r="J620" s="288"/>
      <c r="K620" s="303"/>
      <c r="L620" s="76"/>
      <c r="M620" s="76"/>
      <c r="N620" s="76"/>
      <c r="O620" s="76"/>
      <c r="P620" s="213"/>
      <c r="Q620" s="264"/>
    </row>
    <row r="621" spans="1:21" ht="15.75" x14ac:dyDescent="0.25">
      <c r="A621" s="284"/>
      <c r="B621" s="324"/>
      <c r="C621" s="70" t="s">
        <v>1071</v>
      </c>
      <c r="D621" s="71">
        <v>364.9</v>
      </c>
      <c r="E621" s="71">
        <v>364.9</v>
      </c>
      <c r="F621" s="72"/>
      <c r="G621" s="80">
        <f t="shared" si="33"/>
        <v>1</v>
      </c>
      <c r="H621" s="213"/>
      <c r="I621" s="216"/>
      <c r="J621" s="288"/>
      <c r="K621" s="303"/>
      <c r="L621" s="76"/>
      <c r="M621" s="76"/>
      <c r="N621" s="76"/>
      <c r="O621" s="76"/>
      <c r="P621" s="213"/>
      <c r="Q621" s="264"/>
    </row>
    <row r="622" spans="1:21" ht="15.75" x14ac:dyDescent="0.25">
      <c r="A622" s="284"/>
      <c r="B622" s="324"/>
      <c r="C622" s="70" t="s">
        <v>165</v>
      </c>
      <c r="D622" s="71">
        <v>8.4</v>
      </c>
      <c r="E622" s="71">
        <v>7.4</v>
      </c>
      <c r="F622" s="72">
        <v>1</v>
      </c>
      <c r="G622" s="80">
        <f t="shared" si="33"/>
        <v>0.88095238095238093</v>
      </c>
      <c r="H622" s="213"/>
      <c r="I622" s="216"/>
      <c r="J622" s="288"/>
      <c r="K622" s="303"/>
      <c r="L622" s="76"/>
      <c r="M622" s="76"/>
      <c r="N622" s="76"/>
      <c r="O622" s="76"/>
      <c r="P622" s="213"/>
      <c r="Q622" s="264"/>
    </row>
    <row r="623" spans="1:21" ht="15.75" x14ac:dyDescent="0.25">
      <c r="A623" s="284"/>
      <c r="B623" s="324"/>
      <c r="C623" s="70" t="s">
        <v>204</v>
      </c>
      <c r="D623" s="71">
        <v>91.7</v>
      </c>
      <c r="E623" s="71">
        <v>86.5</v>
      </c>
      <c r="F623" s="72">
        <v>5.2</v>
      </c>
      <c r="G623" s="80">
        <f t="shared" si="33"/>
        <v>0.9432933478735005</v>
      </c>
      <c r="H623" s="213"/>
      <c r="I623" s="216"/>
      <c r="J623" s="288"/>
      <c r="K623" s="303"/>
      <c r="L623" s="76"/>
      <c r="M623" s="76"/>
      <c r="N623" s="76"/>
      <c r="O623" s="76"/>
      <c r="P623" s="213"/>
      <c r="Q623" s="264"/>
    </row>
    <row r="624" spans="1:21" ht="27.75" customHeight="1" thickBot="1" x14ac:dyDescent="0.3">
      <c r="A624" s="281"/>
      <c r="B624" s="283"/>
      <c r="C624" s="70" t="s">
        <v>169</v>
      </c>
      <c r="D624" s="71">
        <v>126.5</v>
      </c>
      <c r="E624" s="71">
        <v>126.3</v>
      </c>
      <c r="F624" s="72">
        <v>0.2</v>
      </c>
      <c r="G624" s="91">
        <f t="shared" si="33"/>
        <v>0.99841897233201582</v>
      </c>
      <c r="H624" s="214"/>
      <c r="I624" s="217"/>
      <c r="J624" s="289"/>
      <c r="K624" s="304"/>
      <c r="L624" s="76"/>
      <c r="M624" s="76"/>
      <c r="N624" s="76"/>
      <c r="O624" s="76"/>
      <c r="P624" s="214"/>
      <c r="Q624" s="263"/>
    </row>
    <row r="625" spans="1:17" ht="78.75" x14ac:dyDescent="0.25">
      <c r="A625" s="280" t="s">
        <v>1169</v>
      </c>
      <c r="B625" s="282" t="s">
        <v>1170</v>
      </c>
      <c r="C625" s="61"/>
      <c r="D625" s="62">
        <f>SUM(D626:D627)</f>
        <v>329.2</v>
      </c>
      <c r="E625" s="62">
        <f>SUM(E626:E627)</f>
        <v>183.2</v>
      </c>
      <c r="F625" s="63">
        <f>SUM(F626:F627)</f>
        <v>146.1</v>
      </c>
      <c r="G625" s="79">
        <f t="shared" si="33"/>
        <v>0.55650060753341435</v>
      </c>
      <c r="H625" s="61" t="s">
        <v>1171</v>
      </c>
      <c r="I625" s="65" t="s">
        <v>14</v>
      </c>
      <c r="J625" s="66">
        <v>75</v>
      </c>
      <c r="K625" s="89">
        <v>75</v>
      </c>
      <c r="L625" s="68" t="s">
        <v>159</v>
      </c>
      <c r="M625" s="68" t="s">
        <v>15</v>
      </c>
      <c r="N625" s="68" t="s">
        <v>267</v>
      </c>
      <c r="O625" s="68" t="s">
        <v>15</v>
      </c>
      <c r="P625" s="61"/>
      <c r="Q625" s="69"/>
    </row>
    <row r="626" spans="1:17" ht="186" customHeight="1" x14ac:dyDescent="0.25">
      <c r="A626" s="284"/>
      <c r="B626" s="324"/>
      <c r="C626" s="70" t="s">
        <v>160</v>
      </c>
      <c r="D626" s="71">
        <v>214.2</v>
      </c>
      <c r="E626" s="71">
        <v>114.6</v>
      </c>
      <c r="F626" s="72">
        <v>99.7</v>
      </c>
      <c r="G626" s="80">
        <f t="shared" si="33"/>
        <v>0.53501400560224088</v>
      </c>
      <c r="H626" s="70" t="s">
        <v>1172</v>
      </c>
      <c r="I626" s="73" t="s">
        <v>14</v>
      </c>
      <c r="J626" s="74">
        <v>50</v>
      </c>
      <c r="K626" s="81">
        <v>50</v>
      </c>
      <c r="L626" s="76" t="s">
        <v>227</v>
      </c>
      <c r="M626" s="76" t="s">
        <v>15</v>
      </c>
      <c r="N626" s="76" t="s">
        <v>147</v>
      </c>
      <c r="O626" s="76" t="s">
        <v>15</v>
      </c>
      <c r="P626" s="70" t="s">
        <v>1173</v>
      </c>
      <c r="Q626" s="77" t="s">
        <v>1724</v>
      </c>
    </row>
    <row r="627" spans="1:17" ht="63.75" thickBot="1" x14ac:dyDescent="0.3">
      <c r="A627" s="281"/>
      <c r="B627" s="283"/>
      <c r="C627" s="70" t="s">
        <v>27</v>
      </c>
      <c r="D627" s="71">
        <v>115</v>
      </c>
      <c r="E627" s="71">
        <v>68.599999999999994</v>
      </c>
      <c r="F627" s="72">
        <v>46.4</v>
      </c>
      <c r="G627" s="91">
        <f t="shared" si="33"/>
        <v>0.59652173913043471</v>
      </c>
      <c r="H627" s="70" t="s">
        <v>1174</v>
      </c>
      <c r="I627" s="73" t="s">
        <v>14</v>
      </c>
      <c r="J627" s="74">
        <v>100</v>
      </c>
      <c r="K627" s="81">
        <v>100</v>
      </c>
      <c r="L627" s="76" t="s">
        <v>54</v>
      </c>
      <c r="M627" s="76" t="s">
        <v>15</v>
      </c>
      <c r="N627" s="76" t="s">
        <v>54</v>
      </c>
      <c r="O627" s="76" t="s">
        <v>15</v>
      </c>
      <c r="P627" s="70" t="s">
        <v>1723</v>
      </c>
      <c r="Q627" s="77"/>
    </row>
    <row r="628" spans="1:17" ht="54" customHeight="1" x14ac:dyDescent="0.25">
      <c r="A628" s="280" t="s">
        <v>1175</v>
      </c>
      <c r="B628" s="282" t="s">
        <v>1176</v>
      </c>
      <c r="C628" s="61"/>
      <c r="D628" s="62">
        <f>SUM(D629:D636)</f>
        <v>993.3</v>
      </c>
      <c r="E628" s="62">
        <f>SUM(E629:E636)+0.1</f>
        <v>968.9</v>
      </c>
      <c r="F628" s="63">
        <f>SUM(F629:F636)</f>
        <v>24.5</v>
      </c>
      <c r="G628" s="79">
        <f t="shared" si="33"/>
        <v>0.97543541729588246</v>
      </c>
      <c r="H628" s="61" t="s">
        <v>1177</v>
      </c>
      <c r="I628" s="65" t="s">
        <v>464</v>
      </c>
      <c r="J628" s="66">
        <v>4</v>
      </c>
      <c r="K628" s="109">
        <v>5</v>
      </c>
      <c r="L628" s="68" t="s">
        <v>60</v>
      </c>
      <c r="M628" s="68" t="s">
        <v>15</v>
      </c>
      <c r="N628" s="68" t="s">
        <v>60</v>
      </c>
      <c r="O628" s="68" t="s">
        <v>15</v>
      </c>
      <c r="P628" s="212" t="s">
        <v>1178</v>
      </c>
      <c r="Q628" s="227" t="s">
        <v>1867</v>
      </c>
    </row>
    <row r="629" spans="1:17" ht="39.75" customHeight="1" x14ac:dyDescent="0.25">
      <c r="A629" s="284"/>
      <c r="B629" s="324"/>
      <c r="C629" s="70" t="s">
        <v>204</v>
      </c>
      <c r="D629" s="71">
        <v>18.8</v>
      </c>
      <c r="E629" s="71">
        <v>17</v>
      </c>
      <c r="F629" s="72">
        <v>1.8</v>
      </c>
      <c r="G629" s="80">
        <f t="shared" si="33"/>
        <v>0.90425531914893609</v>
      </c>
      <c r="H629" s="246" t="s">
        <v>1156</v>
      </c>
      <c r="I629" s="247" t="s">
        <v>464</v>
      </c>
      <c r="J629" s="248">
        <v>190</v>
      </c>
      <c r="K629" s="305">
        <v>444</v>
      </c>
      <c r="L629" s="76" t="s">
        <v>823</v>
      </c>
      <c r="M629" s="76" t="s">
        <v>15</v>
      </c>
      <c r="N629" s="76" t="s">
        <v>823</v>
      </c>
      <c r="O629" s="76" t="s">
        <v>15</v>
      </c>
      <c r="P629" s="213"/>
      <c r="Q629" s="228"/>
    </row>
    <row r="630" spans="1:17" ht="15.75" x14ac:dyDescent="0.25">
      <c r="A630" s="284"/>
      <c r="B630" s="324"/>
      <c r="C630" s="70" t="s">
        <v>160</v>
      </c>
      <c r="D630" s="71">
        <v>11.7</v>
      </c>
      <c r="E630" s="71"/>
      <c r="F630" s="72">
        <v>11.7</v>
      </c>
      <c r="G630" s="80">
        <f t="shared" si="33"/>
        <v>0</v>
      </c>
      <c r="H630" s="213"/>
      <c r="I630" s="216"/>
      <c r="J630" s="219"/>
      <c r="K630" s="301"/>
      <c r="L630" s="76"/>
      <c r="M630" s="76"/>
      <c r="N630" s="76"/>
      <c r="O630" s="76"/>
      <c r="P630" s="213"/>
      <c r="Q630" s="228"/>
    </row>
    <row r="631" spans="1:17" ht="15.75" x14ac:dyDescent="0.25">
      <c r="A631" s="284"/>
      <c r="B631" s="324"/>
      <c r="C631" s="70" t="s">
        <v>165</v>
      </c>
      <c r="D631" s="71">
        <v>7.7</v>
      </c>
      <c r="E631" s="71">
        <v>2.8</v>
      </c>
      <c r="F631" s="72">
        <v>4.9000000000000004</v>
      </c>
      <c r="G631" s="80">
        <f t="shared" si="33"/>
        <v>0.36363636363636359</v>
      </c>
      <c r="H631" s="213"/>
      <c r="I631" s="216"/>
      <c r="J631" s="219"/>
      <c r="K631" s="301"/>
      <c r="L631" s="76"/>
      <c r="M631" s="76"/>
      <c r="N631" s="76"/>
      <c r="O631" s="76"/>
      <c r="P631" s="213"/>
      <c r="Q631" s="228"/>
    </row>
    <row r="632" spans="1:17" ht="15.75" x14ac:dyDescent="0.25">
      <c r="A632" s="284"/>
      <c r="B632" s="324"/>
      <c r="C632" s="70" t="s">
        <v>37</v>
      </c>
      <c r="D632" s="71">
        <v>0.1</v>
      </c>
      <c r="E632" s="71">
        <v>0.1</v>
      </c>
      <c r="F632" s="72"/>
      <c r="G632" s="80">
        <f t="shared" si="33"/>
        <v>1</v>
      </c>
      <c r="H632" s="213"/>
      <c r="I632" s="216"/>
      <c r="J632" s="219"/>
      <c r="K632" s="301"/>
      <c r="L632" s="76"/>
      <c r="M632" s="76"/>
      <c r="N632" s="76"/>
      <c r="O632" s="76"/>
      <c r="P632" s="213"/>
      <c r="Q632" s="228"/>
    </row>
    <row r="633" spans="1:17" ht="15.75" x14ac:dyDescent="0.25">
      <c r="A633" s="284"/>
      <c r="B633" s="324"/>
      <c r="C633" s="70" t="s">
        <v>27</v>
      </c>
      <c r="D633" s="71">
        <v>752.6</v>
      </c>
      <c r="E633" s="71">
        <v>748.5</v>
      </c>
      <c r="F633" s="72">
        <v>4.0999999999999996</v>
      </c>
      <c r="G633" s="80">
        <f t="shared" si="33"/>
        <v>0.99455221897422263</v>
      </c>
      <c r="H633" s="213"/>
      <c r="I633" s="216"/>
      <c r="J633" s="219"/>
      <c r="K633" s="301"/>
      <c r="L633" s="76"/>
      <c r="M633" s="76"/>
      <c r="N633" s="76"/>
      <c r="O633" s="76"/>
      <c r="P633" s="213"/>
      <c r="Q633" s="228"/>
    </row>
    <row r="634" spans="1:17" ht="15.75" x14ac:dyDescent="0.25">
      <c r="A634" s="284"/>
      <c r="B634" s="324"/>
      <c r="C634" s="70" t="s">
        <v>1071</v>
      </c>
      <c r="D634" s="71">
        <v>183.9</v>
      </c>
      <c r="E634" s="71">
        <v>183.9</v>
      </c>
      <c r="F634" s="72"/>
      <c r="G634" s="80">
        <f t="shared" si="33"/>
        <v>1</v>
      </c>
      <c r="H634" s="213"/>
      <c r="I634" s="216"/>
      <c r="J634" s="219"/>
      <c r="K634" s="301"/>
      <c r="L634" s="76"/>
      <c r="M634" s="76"/>
      <c r="N634" s="76"/>
      <c r="O634" s="76"/>
      <c r="P634" s="213"/>
      <c r="Q634" s="228"/>
    </row>
    <row r="635" spans="1:17" ht="15.75" x14ac:dyDescent="0.25">
      <c r="A635" s="284"/>
      <c r="B635" s="324"/>
      <c r="C635" s="70" t="s">
        <v>175</v>
      </c>
      <c r="D635" s="71">
        <v>16.600000000000001</v>
      </c>
      <c r="E635" s="71">
        <v>16.5</v>
      </c>
      <c r="F635" s="72">
        <v>0.1</v>
      </c>
      <c r="G635" s="80">
        <f t="shared" si="33"/>
        <v>0.99397590361445776</v>
      </c>
      <c r="H635" s="213"/>
      <c r="I635" s="216"/>
      <c r="J635" s="219"/>
      <c r="K635" s="301"/>
      <c r="L635" s="76"/>
      <c r="M635" s="76"/>
      <c r="N635" s="76"/>
      <c r="O635" s="76"/>
      <c r="P635" s="213"/>
      <c r="Q635" s="228"/>
    </row>
    <row r="636" spans="1:17" ht="16.5" thickBot="1" x14ac:dyDescent="0.3">
      <c r="A636" s="281"/>
      <c r="B636" s="283"/>
      <c r="C636" s="70" t="s">
        <v>169</v>
      </c>
      <c r="D636" s="71">
        <v>1.9</v>
      </c>
      <c r="E636" s="71"/>
      <c r="F636" s="72">
        <v>1.9</v>
      </c>
      <c r="G636" s="91">
        <f t="shared" si="33"/>
        <v>0</v>
      </c>
      <c r="H636" s="214"/>
      <c r="I636" s="217"/>
      <c r="J636" s="220"/>
      <c r="K636" s="242"/>
      <c r="L636" s="76"/>
      <c r="M636" s="76"/>
      <c r="N636" s="76"/>
      <c r="O636" s="76"/>
      <c r="P636" s="214"/>
      <c r="Q636" s="229"/>
    </row>
    <row r="637" spans="1:17" ht="45" customHeight="1" x14ac:dyDescent="0.25">
      <c r="A637" s="280" t="s">
        <v>1179</v>
      </c>
      <c r="B637" s="282" t="s">
        <v>1180</v>
      </c>
      <c r="C637" s="61"/>
      <c r="D637" s="62">
        <f>SUM(D638:D644)</f>
        <v>1866.3999999999999</v>
      </c>
      <c r="E637" s="62">
        <f>SUM(E638:E644)+0.1</f>
        <v>1847.0000000000002</v>
      </c>
      <c r="F637" s="63">
        <f>SUM(F638:F644)</f>
        <v>19.5</v>
      </c>
      <c r="G637" s="79">
        <f t="shared" si="33"/>
        <v>0.98960565795113609</v>
      </c>
      <c r="H637" s="61" t="s">
        <v>1177</v>
      </c>
      <c r="I637" s="65" t="s">
        <v>464</v>
      </c>
      <c r="J637" s="66">
        <v>8</v>
      </c>
      <c r="K637" s="109">
        <v>9</v>
      </c>
      <c r="L637" s="68" t="s">
        <v>110</v>
      </c>
      <c r="M637" s="68" t="s">
        <v>15</v>
      </c>
      <c r="N637" s="68" t="s">
        <v>110</v>
      </c>
      <c r="O637" s="68" t="s">
        <v>15</v>
      </c>
      <c r="P637" s="212" t="s">
        <v>1725</v>
      </c>
      <c r="Q637" s="227" t="s">
        <v>1726</v>
      </c>
    </row>
    <row r="638" spans="1:17" ht="39.75" customHeight="1" x14ac:dyDescent="0.25">
      <c r="A638" s="284"/>
      <c r="B638" s="324"/>
      <c r="C638" s="70" t="s">
        <v>165</v>
      </c>
      <c r="D638" s="71">
        <v>10.6</v>
      </c>
      <c r="E638" s="71">
        <v>3.4</v>
      </c>
      <c r="F638" s="72">
        <v>7.2</v>
      </c>
      <c r="G638" s="80">
        <f t="shared" si="33"/>
        <v>0.32075471698113206</v>
      </c>
      <c r="H638" s="246" t="s">
        <v>1156</v>
      </c>
      <c r="I638" s="247" t="s">
        <v>464</v>
      </c>
      <c r="J638" s="248">
        <v>340</v>
      </c>
      <c r="K638" s="249">
        <v>340</v>
      </c>
      <c r="L638" s="76" t="s">
        <v>556</v>
      </c>
      <c r="M638" s="76" t="s">
        <v>15</v>
      </c>
      <c r="N638" s="76" t="s">
        <v>556</v>
      </c>
      <c r="O638" s="76" t="s">
        <v>15</v>
      </c>
      <c r="P638" s="213"/>
      <c r="Q638" s="228"/>
    </row>
    <row r="639" spans="1:17" ht="15.75" x14ac:dyDescent="0.25">
      <c r="A639" s="284"/>
      <c r="B639" s="324"/>
      <c r="C639" s="70" t="s">
        <v>27</v>
      </c>
      <c r="D639" s="71">
        <v>1101</v>
      </c>
      <c r="E639" s="71">
        <v>1101</v>
      </c>
      <c r="F639" s="72"/>
      <c r="G639" s="80">
        <f t="shared" si="33"/>
        <v>1</v>
      </c>
      <c r="H639" s="213"/>
      <c r="I639" s="216"/>
      <c r="J639" s="219"/>
      <c r="K639" s="244"/>
      <c r="L639" s="76"/>
      <c r="M639" s="76"/>
      <c r="N639" s="76"/>
      <c r="O639" s="76"/>
      <c r="P639" s="213"/>
      <c r="Q639" s="228"/>
    </row>
    <row r="640" spans="1:17" ht="15.75" x14ac:dyDescent="0.25">
      <c r="A640" s="284"/>
      <c r="B640" s="324"/>
      <c r="C640" s="70" t="s">
        <v>175</v>
      </c>
      <c r="D640" s="71">
        <v>36.4</v>
      </c>
      <c r="E640" s="71">
        <v>36.4</v>
      </c>
      <c r="F640" s="72"/>
      <c r="G640" s="80">
        <f t="shared" si="33"/>
        <v>1</v>
      </c>
      <c r="H640" s="213"/>
      <c r="I640" s="216"/>
      <c r="J640" s="219"/>
      <c r="K640" s="244"/>
      <c r="L640" s="76"/>
      <c r="M640" s="76"/>
      <c r="N640" s="76"/>
      <c r="O640" s="76"/>
      <c r="P640" s="213"/>
      <c r="Q640" s="228"/>
    </row>
    <row r="641" spans="1:17" ht="15.75" x14ac:dyDescent="0.25">
      <c r="A641" s="284"/>
      <c r="B641" s="324"/>
      <c r="C641" s="70" t="s">
        <v>204</v>
      </c>
      <c r="D641" s="71">
        <v>60.6</v>
      </c>
      <c r="E641" s="71">
        <v>56.4</v>
      </c>
      <c r="F641" s="72">
        <v>4.2</v>
      </c>
      <c r="G641" s="80">
        <f t="shared" si="33"/>
        <v>0.93069306930693063</v>
      </c>
      <c r="H641" s="213"/>
      <c r="I641" s="216"/>
      <c r="J641" s="219"/>
      <c r="K641" s="244"/>
      <c r="L641" s="76"/>
      <c r="M641" s="76"/>
      <c r="N641" s="76"/>
      <c r="O641" s="76"/>
      <c r="P641" s="213"/>
      <c r="Q641" s="228"/>
    </row>
    <row r="642" spans="1:17" ht="15.75" x14ac:dyDescent="0.25">
      <c r="A642" s="284"/>
      <c r="B642" s="324"/>
      <c r="C642" s="70" t="s">
        <v>169</v>
      </c>
      <c r="D642" s="71">
        <v>466</v>
      </c>
      <c r="E642" s="71">
        <v>465.9</v>
      </c>
      <c r="F642" s="72">
        <v>0.1</v>
      </c>
      <c r="G642" s="80">
        <f t="shared" si="33"/>
        <v>0.99978540772532187</v>
      </c>
      <c r="H642" s="213"/>
      <c r="I642" s="216"/>
      <c r="J642" s="219"/>
      <c r="K642" s="244"/>
      <c r="L642" s="76"/>
      <c r="M642" s="76"/>
      <c r="N642" s="76"/>
      <c r="O642" s="76"/>
      <c r="P642" s="213"/>
      <c r="Q642" s="228"/>
    </row>
    <row r="643" spans="1:17" ht="15.75" x14ac:dyDescent="0.25">
      <c r="A643" s="284"/>
      <c r="B643" s="324"/>
      <c r="C643" s="70" t="s">
        <v>160</v>
      </c>
      <c r="D643" s="71">
        <v>42.5</v>
      </c>
      <c r="E643" s="71">
        <v>34.5</v>
      </c>
      <c r="F643" s="72">
        <v>8</v>
      </c>
      <c r="G643" s="80">
        <f t="shared" si="33"/>
        <v>0.81176470588235294</v>
      </c>
      <c r="H643" s="213"/>
      <c r="I643" s="216"/>
      <c r="J643" s="219"/>
      <c r="K643" s="244"/>
      <c r="L643" s="76"/>
      <c r="M643" s="76"/>
      <c r="N643" s="76"/>
      <c r="O643" s="76"/>
      <c r="P643" s="213"/>
      <c r="Q643" s="228"/>
    </row>
    <row r="644" spans="1:17" ht="16.5" thickBot="1" x14ac:dyDescent="0.3">
      <c r="A644" s="281"/>
      <c r="B644" s="283"/>
      <c r="C644" s="70" t="s">
        <v>37</v>
      </c>
      <c r="D644" s="71">
        <v>149.30000000000001</v>
      </c>
      <c r="E644" s="71">
        <v>149.30000000000001</v>
      </c>
      <c r="F644" s="72"/>
      <c r="G644" s="91">
        <f t="shared" si="33"/>
        <v>1</v>
      </c>
      <c r="H644" s="214"/>
      <c r="I644" s="217"/>
      <c r="J644" s="220"/>
      <c r="K644" s="245"/>
      <c r="L644" s="76"/>
      <c r="M644" s="76"/>
      <c r="N644" s="76"/>
      <c r="O644" s="76"/>
      <c r="P644" s="214"/>
      <c r="Q644" s="229"/>
    </row>
    <row r="645" spans="1:17" ht="42" customHeight="1" x14ac:dyDescent="0.25">
      <c r="A645" s="280" t="s">
        <v>1181</v>
      </c>
      <c r="B645" s="282" t="s">
        <v>1182</v>
      </c>
      <c r="C645" s="61"/>
      <c r="D645" s="62">
        <f>SUM(D646:D647)</f>
        <v>364.5</v>
      </c>
      <c r="E645" s="62">
        <f>SUM(E646:E647)</f>
        <v>335</v>
      </c>
      <c r="F645" s="63">
        <f>SUM(F646:F647)</f>
        <v>29.5</v>
      </c>
      <c r="G645" s="79">
        <f t="shared" si="33"/>
        <v>0.91906721536351166</v>
      </c>
      <c r="H645" s="61" t="s">
        <v>1156</v>
      </c>
      <c r="I645" s="65" t="s">
        <v>464</v>
      </c>
      <c r="J645" s="66">
        <v>150</v>
      </c>
      <c r="K645" s="109">
        <v>273</v>
      </c>
      <c r="L645" s="68" t="s">
        <v>1183</v>
      </c>
      <c r="M645" s="68" t="s">
        <v>15</v>
      </c>
      <c r="N645" s="68"/>
      <c r="O645" s="68"/>
      <c r="P645" s="212" t="s">
        <v>1727</v>
      </c>
      <c r="Q645" s="227" t="s">
        <v>1809</v>
      </c>
    </row>
    <row r="646" spans="1:17" ht="119.25" customHeight="1" x14ac:dyDescent="0.25">
      <c r="A646" s="284"/>
      <c r="B646" s="324"/>
      <c r="C646" s="70" t="s">
        <v>37</v>
      </c>
      <c r="D646" s="71">
        <v>9.6</v>
      </c>
      <c r="E646" s="71">
        <v>9.6</v>
      </c>
      <c r="F646" s="72"/>
      <c r="G646" s="80">
        <f t="shared" si="33"/>
        <v>1</v>
      </c>
      <c r="H646" s="246" t="s">
        <v>1184</v>
      </c>
      <c r="I646" s="247" t="s">
        <v>14</v>
      </c>
      <c r="J646" s="248">
        <v>90</v>
      </c>
      <c r="K646" s="249">
        <v>90</v>
      </c>
      <c r="L646" s="76" t="s">
        <v>211</v>
      </c>
      <c r="M646" s="76" t="s">
        <v>15</v>
      </c>
      <c r="N646" s="76"/>
      <c r="O646" s="76"/>
      <c r="P646" s="213"/>
      <c r="Q646" s="228"/>
    </row>
    <row r="647" spans="1:17" ht="31.5" customHeight="1" thickBot="1" x14ac:dyDescent="0.3">
      <c r="A647" s="281"/>
      <c r="B647" s="283"/>
      <c r="C647" s="70" t="s">
        <v>229</v>
      </c>
      <c r="D647" s="71">
        <v>354.9</v>
      </c>
      <c r="E647" s="71">
        <v>325.39999999999998</v>
      </c>
      <c r="F647" s="72">
        <v>29.5</v>
      </c>
      <c r="G647" s="91">
        <f t="shared" si="33"/>
        <v>0.91687799380107071</v>
      </c>
      <c r="H647" s="214"/>
      <c r="I647" s="217"/>
      <c r="J647" s="220"/>
      <c r="K647" s="245"/>
      <c r="L647" s="76"/>
      <c r="M647" s="76"/>
      <c r="N647" s="76"/>
      <c r="O647" s="76"/>
      <c r="P647" s="214"/>
      <c r="Q647" s="229"/>
    </row>
    <row r="648" spans="1:17" ht="181.5" customHeight="1" x14ac:dyDescent="0.25">
      <c r="A648" s="280" t="s">
        <v>1185</v>
      </c>
      <c r="B648" s="282" t="s">
        <v>1162</v>
      </c>
      <c r="C648" s="61"/>
      <c r="D648" s="62">
        <f>SUM(D649:D652)</f>
        <v>212.7</v>
      </c>
      <c r="E648" s="62">
        <f>SUM(E649:E652)</f>
        <v>175.8</v>
      </c>
      <c r="F648" s="63">
        <f>SUM(F649:F652)</f>
        <v>36.9</v>
      </c>
      <c r="G648" s="79">
        <f t="shared" si="33"/>
        <v>0.82651622002820879</v>
      </c>
      <c r="H648" s="61" t="s">
        <v>1144</v>
      </c>
      <c r="I648" s="65" t="s">
        <v>464</v>
      </c>
      <c r="J648" s="66">
        <v>5</v>
      </c>
      <c r="K648" s="109">
        <v>6</v>
      </c>
      <c r="L648" s="68" t="s">
        <v>58</v>
      </c>
      <c r="M648" s="68" t="s">
        <v>15</v>
      </c>
      <c r="N648" s="68" t="s">
        <v>58</v>
      </c>
      <c r="O648" s="68" t="s">
        <v>15</v>
      </c>
      <c r="P648" s="61" t="s">
        <v>1186</v>
      </c>
      <c r="Q648" s="69" t="s">
        <v>1810</v>
      </c>
    </row>
    <row r="649" spans="1:17" ht="94.5" x14ac:dyDescent="0.25">
      <c r="A649" s="284"/>
      <c r="B649" s="324"/>
      <c r="C649" s="70" t="s">
        <v>27</v>
      </c>
      <c r="D649" s="71">
        <v>40</v>
      </c>
      <c r="E649" s="71">
        <v>30.9</v>
      </c>
      <c r="F649" s="72">
        <v>9.1</v>
      </c>
      <c r="G649" s="80">
        <f t="shared" si="33"/>
        <v>0.77249999999999996</v>
      </c>
      <c r="H649" s="70" t="s">
        <v>1187</v>
      </c>
      <c r="I649" s="73" t="s">
        <v>14</v>
      </c>
      <c r="J649" s="74">
        <v>100</v>
      </c>
      <c r="K649" s="81">
        <v>100</v>
      </c>
      <c r="L649" s="76" t="s">
        <v>54</v>
      </c>
      <c r="M649" s="76" t="s">
        <v>15</v>
      </c>
      <c r="N649" s="76" t="s">
        <v>54</v>
      </c>
      <c r="O649" s="76" t="s">
        <v>15</v>
      </c>
      <c r="P649" s="70" t="s">
        <v>1188</v>
      </c>
      <c r="Q649" s="77"/>
    </row>
    <row r="650" spans="1:17" ht="94.5" x14ac:dyDescent="0.25">
      <c r="A650" s="284"/>
      <c r="B650" s="324"/>
      <c r="C650" s="70" t="s">
        <v>37</v>
      </c>
      <c r="D650" s="71">
        <v>19.399999999999999</v>
      </c>
      <c r="E650" s="71">
        <v>0.2</v>
      </c>
      <c r="F650" s="72">
        <v>19.2</v>
      </c>
      <c r="G650" s="80">
        <f t="shared" si="33"/>
        <v>1.0309278350515465E-2</v>
      </c>
      <c r="H650" s="70" t="s">
        <v>1189</v>
      </c>
      <c r="I650" s="73" t="s">
        <v>19</v>
      </c>
      <c r="J650" s="74">
        <v>1</v>
      </c>
      <c r="K650" s="157">
        <v>1</v>
      </c>
      <c r="L650" s="76" t="s">
        <v>29</v>
      </c>
      <c r="M650" s="76" t="s">
        <v>15</v>
      </c>
      <c r="N650" s="76" t="s">
        <v>29</v>
      </c>
      <c r="O650" s="76" t="s">
        <v>15</v>
      </c>
      <c r="P650" s="123"/>
      <c r="Q650" s="77" t="s">
        <v>1728</v>
      </c>
    </row>
    <row r="651" spans="1:17" ht="141.75" x14ac:dyDescent="0.25">
      <c r="A651" s="284"/>
      <c r="B651" s="324"/>
      <c r="C651" s="70" t="s">
        <v>160</v>
      </c>
      <c r="D651" s="71">
        <v>33.799999999999997</v>
      </c>
      <c r="E651" s="71">
        <v>25.2</v>
      </c>
      <c r="F651" s="72">
        <v>8.6</v>
      </c>
      <c r="G651" s="80">
        <f t="shared" si="33"/>
        <v>0.74556213017751483</v>
      </c>
      <c r="H651" s="70" t="s">
        <v>1190</v>
      </c>
      <c r="I651" s="73" t="s">
        <v>19</v>
      </c>
      <c r="J651" s="74">
        <v>1</v>
      </c>
      <c r="K651" s="81">
        <v>1</v>
      </c>
      <c r="L651" s="76"/>
      <c r="M651" s="76"/>
      <c r="N651" s="76"/>
      <c r="O651" s="76"/>
      <c r="P651" s="70" t="s">
        <v>1191</v>
      </c>
      <c r="Q651" s="77"/>
    </row>
    <row r="652" spans="1:17" ht="95.25" thickBot="1" x14ac:dyDescent="0.3">
      <c r="A652" s="281"/>
      <c r="B652" s="283"/>
      <c r="C652" s="70" t="s">
        <v>1071</v>
      </c>
      <c r="D652" s="71">
        <v>119.5</v>
      </c>
      <c r="E652" s="71">
        <v>119.5</v>
      </c>
      <c r="F652" s="72"/>
      <c r="G652" s="91">
        <f t="shared" si="33"/>
        <v>1</v>
      </c>
      <c r="H652" s="70" t="s">
        <v>1192</v>
      </c>
      <c r="I652" s="73" t="s">
        <v>14</v>
      </c>
      <c r="J652" s="74">
        <v>95</v>
      </c>
      <c r="K652" s="111">
        <v>100</v>
      </c>
      <c r="L652" s="76" t="s">
        <v>628</v>
      </c>
      <c r="M652" s="76" t="s">
        <v>15</v>
      </c>
      <c r="N652" s="76" t="s">
        <v>628</v>
      </c>
      <c r="O652" s="76" t="s">
        <v>15</v>
      </c>
      <c r="P652" s="70" t="s">
        <v>1193</v>
      </c>
      <c r="Q652" s="77"/>
    </row>
    <row r="653" spans="1:17" ht="45.75" customHeight="1" x14ac:dyDescent="0.25">
      <c r="A653" s="280" t="s">
        <v>1194</v>
      </c>
      <c r="B653" s="282" t="s">
        <v>1195</v>
      </c>
      <c r="C653" s="61"/>
      <c r="D653" s="62">
        <f>SUM(D654:D656)</f>
        <v>427.90000000000003</v>
      </c>
      <c r="E653" s="62">
        <f>SUM(E654:E656)</f>
        <v>302.60000000000002</v>
      </c>
      <c r="F653" s="63">
        <f>SUM(F654:F656)-0.1</f>
        <v>125.2</v>
      </c>
      <c r="G653" s="79">
        <f t="shared" si="33"/>
        <v>0.7071745734984809</v>
      </c>
      <c r="H653" s="212" t="s">
        <v>1196</v>
      </c>
      <c r="I653" s="215" t="s">
        <v>464</v>
      </c>
      <c r="J653" s="218">
        <v>177</v>
      </c>
      <c r="K653" s="241">
        <v>671</v>
      </c>
      <c r="L653" s="68"/>
      <c r="M653" s="68"/>
      <c r="N653" s="68"/>
      <c r="O653" s="68"/>
      <c r="P653" s="212" t="s">
        <v>1198</v>
      </c>
      <c r="Q653" s="227" t="s">
        <v>1811</v>
      </c>
    </row>
    <row r="654" spans="1:17" ht="15.75" x14ac:dyDescent="0.25">
      <c r="A654" s="284"/>
      <c r="B654" s="324"/>
      <c r="C654" s="70" t="s">
        <v>37</v>
      </c>
      <c r="D654" s="71">
        <v>0.1</v>
      </c>
      <c r="E654" s="71">
        <v>0.1</v>
      </c>
      <c r="F654" s="72"/>
      <c r="G654" s="80">
        <f t="shared" si="33"/>
        <v>1</v>
      </c>
      <c r="H654" s="213"/>
      <c r="I654" s="216"/>
      <c r="J654" s="219"/>
      <c r="K654" s="301"/>
      <c r="L654" s="76"/>
      <c r="M654" s="76"/>
      <c r="N654" s="76"/>
      <c r="O654" s="76"/>
      <c r="P654" s="213"/>
      <c r="Q654" s="228"/>
    </row>
    <row r="655" spans="1:17" ht="15.75" x14ac:dyDescent="0.25">
      <c r="A655" s="284"/>
      <c r="B655" s="324"/>
      <c r="C655" s="70" t="s">
        <v>27</v>
      </c>
      <c r="D655" s="71">
        <v>5</v>
      </c>
      <c r="E655" s="71">
        <v>2.7</v>
      </c>
      <c r="F655" s="72">
        <v>2.2999999999999998</v>
      </c>
      <c r="G655" s="80">
        <f t="shared" si="33"/>
        <v>0.54</v>
      </c>
      <c r="H655" s="213"/>
      <c r="I655" s="216"/>
      <c r="J655" s="219"/>
      <c r="K655" s="301"/>
      <c r="L655" s="76"/>
      <c r="M655" s="76"/>
      <c r="N655" s="76"/>
      <c r="O655" s="76"/>
      <c r="P655" s="213"/>
      <c r="Q655" s="228"/>
    </row>
    <row r="656" spans="1:17" ht="24" customHeight="1" thickBot="1" x14ac:dyDescent="0.3">
      <c r="A656" s="281"/>
      <c r="B656" s="283"/>
      <c r="C656" s="70" t="s">
        <v>229</v>
      </c>
      <c r="D656" s="71">
        <v>422.8</v>
      </c>
      <c r="E656" s="71">
        <v>299.8</v>
      </c>
      <c r="F656" s="72">
        <v>123</v>
      </c>
      <c r="G656" s="91">
        <f t="shared" si="33"/>
        <v>0.70908230842005682</v>
      </c>
      <c r="H656" s="214"/>
      <c r="I656" s="217"/>
      <c r="J656" s="220"/>
      <c r="K656" s="242"/>
      <c r="L656" s="76"/>
      <c r="M656" s="76"/>
      <c r="N656" s="76"/>
      <c r="O656" s="76"/>
      <c r="P656" s="214"/>
      <c r="Q656" s="229"/>
    </row>
    <row r="657" spans="1:17" ht="63.75" thickBot="1" x14ac:dyDescent="0.3">
      <c r="A657" s="93" t="s">
        <v>1199</v>
      </c>
      <c r="B657" s="94" t="s">
        <v>1200</v>
      </c>
      <c r="C657" s="61" t="s">
        <v>27</v>
      </c>
      <c r="D657" s="95">
        <v>110.8</v>
      </c>
      <c r="E657" s="95">
        <v>108.7</v>
      </c>
      <c r="F657" s="96">
        <v>2.1</v>
      </c>
      <c r="G657" s="79">
        <f t="shared" si="33"/>
        <v>0.9810469314079423</v>
      </c>
      <c r="H657" s="61" t="s">
        <v>1201</v>
      </c>
      <c r="I657" s="65" t="s">
        <v>464</v>
      </c>
      <c r="J657" s="66">
        <v>10</v>
      </c>
      <c r="K657" s="145">
        <v>8</v>
      </c>
      <c r="L657" s="68" t="s">
        <v>114</v>
      </c>
      <c r="M657" s="68" t="s">
        <v>15</v>
      </c>
      <c r="N657" s="68" t="s">
        <v>114</v>
      </c>
      <c r="O657" s="68" t="s">
        <v>15</v>
      </c>
      <c r="P657" s="61"/>
      <c r="Q657" s="69" t="s">
        <v>1729</v>
      </c>
    </row>
    <row r="658" spans="1:17" ht="38.25" customHeight="1" x14ac:dyDescent="0.25">
      <c r="A658" s="280" t="s">
        <v>1202</v>
      </c>
      <c r="B658" s="282" t="s">
        <v>1203</v>
      </c>
      <c r="C658" s="61"/>
      <c r="D658" s="62">
        <f>SUM(D659:D661)</f>
        <v>744.2</v>
      </c>
      <c r="E658" s="62">
        <f>SUM(E659:E661)</f>
        <v>735.3</v>
      </c>
      <c r="F658" s="63">
        <f>SUM(F659:F661)</f>
        <v>8.9</v>
      </c>
      <c r="G658" s="79">
        <f t="shared" si="33"/>
        <v>0.98804084923407676</v>
      </c>
      <c r="H658" s="61" t="s">
        <v>1204</v>
      </c>
      <c r="I658" s="65" t="s">
        <v>464</v>
      </c>
      <c r="J658" s="66">
        <v>195</v>
      </c>
      <c r="K658" s="109">
        <v>227</v>
      </c>
      <c r="L658" s="68" t="s">
        <v>823</v>
      </c>
      <c r="M658" s="68" t="s">
        <v>15</v>
      </c>
      <c r="N658" s="68" t="s">
        <v>823</v>
      </c>
      <c r="O658" s="68" t="s">
        <v>15</v>
      </c>
      <c r="P658" s="61"/>
      <c r="Q658" s="69" t="s">
        <v>1717</v>
      </c>
    </row>
    <row r="659" spans="1:17" ht="63" x14ac:dyDescent="0.25">
      <c r="A659" s="284"/>
      <c r="B659" s="324"/>
      <c r="C659" s="70" t="s">
        <v>37</v>
      </c>
      <c r="D659" s="71">
        <v>40</v>
      </c>
      <c r="E659" s="71">
        <v>40</v>
      </c>
      <c r="F659" s="72"/>
      <c r="G659" s="80">
        <f t="shared" si="33"/>
        <v>1</v>
      </c>
      <c r="H659" s="70" t="s">
        <v>1205</v>
      </c>
      <c r="I659" s="73" t="s">
        <v>464</v>
      </c>
      <c r="J659" s="74">
        <v>19</v>
      </c>
      <c r="K659" s="110">
        <v>18</v>
      </c>
      <c r="L659" s="76" t="s">
        <v>102</v>
      </c>
      <c r="M659" s="76" t="s">
        <v>15</v>
      </c>
      <c r="N659" s="76" t="s">
        <v>761</v>
      </c>
      <c r="O659" s="76" t="s">
        <v>15</v>
      </c>
      <c r="P659" s="70" t="s">
        <v>1730</v>
      </c>
      <c r="Q659" s="77"/>
    </row>
    <row r="660" spans="1:17" ht="63" x14ac:dyDescent="0.25">
      <c r="A660" s="284"/>
      <c r="B660" s="324"/>
      <c r="C660" s="70" t="s">
        <v>27</v>
      </c>
      <c r="D660" s="71">
        <v>704.2</v>
      </c>
      <c r="E660" s="71">
        <v>695.3</v>
      </c>
      <c r="F660" s="72">
        <v>8.9</v>
      </c>
      <c r="G660" s="91">
        <f t="shared" si="33"/>
        <v>0.98736154501562046</v>
      </c>
      <c r="H660" s="70" t="s">
        <v>1206</v>
      </c>
      <c r="I660" s="73" t="s">
        <v>464</v>
      </c>
      <c r="J660" s="74">
        <v>8</v>
      </c>
      <c r="K660" s="111">
        <v>9</v>
      </c>
      <c r="L660" s="76" t="s">
        <v>110</v>
      </c>
      <c r="M660" s="76" t="s">
        <v>15</v>
      </c>
      <c r="N660" s="76" t="s">
        <v>110</v>
      </c>
      <c r="O660" s="76" t="s">
        <v>15</v>
      </c>
      <c r="P660" s="70" t="s">
        <v>1207</v>
      </c>
      <c r="Q660" s="77"/>
    </row>
    <row r="661" spans="1:17" ht="59.25" customHeight="1" thickBot="1" x14ac:dyDescent="0.3">
      <c r="A661" s="281"/>
      <c r="B661" s="283"/>
      <c r="C661" s="70"/>
      <c r="D661" s="71"/>
      <c r="E661" s="71"/>
      <c r="F661" s="72"/>
      <c r="G661" s="72"/>
      <c r="H661" s="70" t="s">
        <v>1208</v>
      </c>
      <c r="I661" s="73" t="s">
        <v>464</v>
      </c>
      <c r="J661" s="74">
        <v>1</v>
      </c>
      <c r="K661" s="81">
        <v>1</v>
      </c>
      <c r="L661" s="76" t="s">
        <v>29</v>
      </c>
      <c r="M661" s="76" t="s">
        <v>15</v>
      </c>
      <c r="N661" s="76" t="s">
        <v>29</v>
      </c>
      <c r="O661" s="76" t="s">
        <v>15</v>
      </c>
      <c r="P661" s="70" t="s">
        <v>1209</v>
      </c>
      <c r="Q661" s="77"/>
    </row>
    <row r="662" spans="1:17" ht="12.75" hidden="1" customHeight="1" thickBot="1" x14ac:dyDescent="0.3">
      <c r="A662" s="93" t="s">
        <v>1210</v>
      </c>
      <c r="B662" s="94" t="s">
        <v>1211</v>
      </c>
      <c r="C662" s="61"/>
      <c r="D662" s="95"/>
      <c r="E662" s="95"/>
      <c r="F662" s="96"/>
      <c r="G662" s="96"/>
      <c r="H662" s="61"/>
      <c r="I662" s="65"/>
      <c r="J662" s="98"/>
      <c r="K662" s="98"/>
      <c r="L662" s="68"/>
      <c r="M662" s="68"/>
      <c r="N662" s="68"/>
      <c r="O662" s="68"/>
      <c r="P662" s="61"/>
      <c r="Q662" s="69"/>
    </row>
    <row r="663" spans="1:17" ht="110.25" x14ac:dyDescent="0.25">
      <c r="A663" s="280" t="s">
        <v>1212</v>
      </c>
      <c r="B663" s="282" t="s">
        <v>1213</v>
      </c>
      <c r="C663" s="61"/>
      <c r="D663" s="62">
        <f>SUM(D664:D665)</f>
        <v>398.7</v>
      </c>
      <c r="E663" s="62">
        <f>SUM(E664:E665)</f>
        <v>46</v>
      </c>
      <c r="F663" s="63">
        <f>SUM(F664:F665)</f>
        <v>352.7</v>
      </c>
      <c r="G663" s="79">
        <f t="shared" ref="G663:G668" si="34">SUM(E663/D663)</f>
        <v>0.11537496864810635</v>
      </c>
      <c r="H663" s="61" t="s">
        <v>1214</v>
      </c>
      <c r="I663" s="65" t="s">
        <v>464</v>
      </c>
      <c r="J663" s="66">
        <v>2</v>
      </c>
      <c r="K663" s="67">
        <v>0</v>
      </c>
      <c r="L663" s="68"/>
      <c r="M663" s="68"/>
      <c r="N663" s="68"/>
      <c r="O663" s="68"/>
      <c r="P663" s="61" t="s">
        <v>1215</v>
      </c>
      <c r="Q663" s="69" t="s">
        <v>1731</v>
      </c>
    </row>
    <row r="664" spans="1:17" ht="139.5" customHeight="1" x14ac:dyDescent="0.25">
      <c r="A664" s="284"/>
      <c r="B664" s="324"/>
      <c r="C664" s="70" t="s">
        <v>37</v>
      </c>
      <c r="D664" s="71">
        <v>19.5</v>
      </c>
      <c r="E664" s="71">
        <v>13</v>
      </c>
      <c r="F664" s="72">
        <v>6.5</v>
      </c>
      <c r="G664" s="80">
        <f t="shared" si="34"/>
        <v>0.66666666666666663</v>
      </c>
      <c r="H664" s="246" t="s">
        <v>1216</v>
      </c>
      <c r="I664" s="247" t="s">
        <v>19</v>
      </c>
      <c r="J664" s="248">
        <v>1</v>
      </c>
      <c r="K664" s="249">
        <v>1</v>
      </c>
      <c r="L664" s="76" t="s">
        <v>29</v>
      </c>
      <c r="M664" s="76" t="s">
        <v>15</v>
      </c>
      <c r="N664" s="76"/>
      <c r="O664" s="76"/>
      <c r="P664" s="246" t="s">
        <v>1217</v>
      </c>
      <c r="Q664" s="286" t="s">
        <v>1732</v>
      </c>
    </row>
    <row r="665" spans="1:17" ht="82.5" customHeight="1" thickBot="1" x14ac:dyDescent="0.3">
      <c r="A665" s="281"/>
      <c r="B665" s="283"/>
      <c r="C665" s="70" t="s">
        <v>229</v>
      </c>
      <c r="D665" s="71">
        <v>379.2</v>
      </c>
      <c r="E665" s="71">
        <v>33</v>
      </c>
      <c r="F665" s="72">
        <v>346.2</v>
      </c>
      <c r="G665" s="91">
        <f t="shared" si="34"/>
        <v>8.7025316455696208E-2</v>
      </c>
      <c r="H665" s="214"/>
      <c r="I665" s="217"/>
      <c r="J665" s="220"/>
      <c r="K665" s="245"/>
      <c r="L665" s="76"/>
      <c r="M665" s="76"/>
      <c r="N665" s="76"/>
      <c r="O665" s="76"/>
      <c r="P665" s="214"/>
      <c r="Q665" s="229"/>
    </row>
    <row r="666" spans="1:17" ht="78.75" x14ac:dyDescent="0.25">
      <c r="A666" s="280" t="s">
        <v>1218</v>
      </c>
      <c r="B666" s="282" t="s">
        <v>1219</v>
      </c>
      <c r="C666" s="61"/>
      <c r="D666" s="62">
        <f>SUM(D667:D669)</f>
        <v>2082.1</v>
      </c>
      <c r="E666" s="62">
        <f>SUM(E667:E669)</f>
        <v>1901.6</v>
      </c>
      <c r="F666" s="63">
        <f>SUM(F667:F669)</f>
        <v>180.5</v>
      </c>
      <c r="G666" s="79">
        <f t="shared" si="34"/>
        <v>0.91330867873781274</v>
      </c>
      <c r="H666" s="61" t="s">
        <v>1220</v>
      </c>
      <c r="I666" s="65" t="s">
        <v>464</v>
      </c>
      <c r="J666" s="66">
        <v>105</v>
      </c>
      <c r="K666" s="109">
        <v>108</v>
      </c>
      <c r="L666" s="68"/>
      <c r="M666" s="68"/>
      <c r="N666" s="68"/>
      <c r="O666" s="68"/>
      <c r="P666" s="61" t="s">
        <v>1221</v>
      </c>
      <c r="Q666" s="69" t="s">
        <v>1812</v>
      </c>
    </row>
    <row r="667" spans="1:17" ht="31.5" x14ac:dyDescent="0.25">
      <c r="A667" s="284"/>
      <c r="B667" s="324"/>
      <c r="C667" s="70" t="s">
        <v>37</v>
      </c>
      <c r="D667" s="71">
        <v>1110.2</v>
      </c>
      <c r="E667" s="71">
        <v>1110.2</v>
      </c>
      <c r="F667" s="72"/>
      <c r="G667" s="80">
        <f t="shared" si="34"/>
        <v>1</v>
      </c>
      <c r="H667" s="70" t="s">
        <v>1222</v>
      </c>
      <c r="I667" s="73" t="s">
        <v>464</v>
      </c>
      <c r="J667" s="74">
        <v>150</v>
      </c>
      <c r="K667" s="110">
        <v>106</v>
      </c>
      <c r="L667" s="76"/>
      <c r="M667" s="76"/>
      <c r="N667" s="76"/>
      <c r="O667" s="76"/>
      <c r="P667" s="70" t="s">
        <v>1733</v>
      </c>
      <c r="Q667" s="77"/>
    </row>
    <row r="668" spans="1:17" ht="63" x14ac:dyDescent="0.25">
      <c r="A668" s="284"/>
      <c r="B668" s="324"/>
      <c r="C668" s="70" t="s">
        <v>27</v>
      </c>
      <c r="D668" s="71">
        <v>971.9</v>
      </c>
      <c r="E668" s="71">
        <v>791.4</v>
      </c>
      <c r="F668" s="72">
        <v>180.5</v>
      </c>
      <c r="G668" s="91">
        <f t="shared" si="34"/>
        <v>0.81428130466097337</v>
      </c>
      <c r="H668" s="70" t="s">
        <v>1223</v>
      </c>
      <c r="I668" s="73" t="s">
        <v>464</v>
      </c>
      <c r="J668" s="74">
        <v>40</v>
      </c>
      <c r="K668" s="110">
        <v>32</v>
      </c>
      <c r="L668" s="76"/>
      <c r="M668" s="76"/>
      <c r="N668" s="76"/>
      <c r="O668" s="76"/>
      <c r="P668" s="70" t="s">
        <v>1734</v>
      </c>
      <c r="Q668" s="77"/>
    </row>
    <row r="669" spans="1:17" ht="32.25" thickBot="1" x14ac:dyDescent="0.3">
      <c r="A669" s="281"/>
      <c r="B669" s="283"/>
      <c r="C669" s="70"/>
      <c r="D669" s="71"/>
      <c r="E669" s="71"/>
      <c r="F669" s="72"/>
      <c r="G669" s="72"/>
      <c r="H669" s="70" t="s">
        <v>1224</v>
      </c>
      <c r="I669" s="73" t="s">
        <v>464</v>
      </c>
      <c r="J669" s="74">
        <v>160</v>
      </c>
      <c r="K669" s="111">
        <v>181</v>
      </c>
      <c r="L669" s="76"/>
      <c r="M669" s="76"/>
      <c r="N669" s="76"/>
      <c r="O669" s="76"/>
      <c r="P669" s="70"/>
      <c r="Q669" s="77"/>
    </row>
    <row r="670" spans="1:17" ht="153" customHeight="1" x14ac:dyDescent="0.25">
      <c r="A670" s="280" t="s">
        <v>1225</v>
      </c>
      <c r="B670" s="282" t="s">
        <v>1226</v>
      </c>
      <c r="C670" s="61"/>
      <c r="D670" s="62">
        <f>SUM(D671:D674)</f>
        <v>889.30000000000007</v>
      </c>
      <c r="E670" s="62">
        <f>SUM(E671:E674)</f>
        <v>864.2</v>
      </c>
      <c r="F670" s="63">
        <f>SUM(F671:F674)</f>
        <v>25.099999999999998</v>
      </c>
      <c r="G670" s="79">
        <f t="shared" ref="G670:G676" si="35">SUM(E670/D670)</f>
        <v>0.97177555380636449</v>
      </c>
      <c r="H670" s="61" t="s">
        <v>1144</v>
      </c>
      <c r="I670" s="65" t="s">
        <v>464</v>
      </c>
      <c r="J670" s="66">
        <v>5</v>
      </c>
      <c r="K670" s="145">
        <v>4</v>
      </c>
      <c r="L670" s="68" t="s">
        <v>58</v>
      </c>
      <c r="M670" s="68" t="s">
        <v>15</v>
      </c>
      <c r="N670" s="68" t="s">
        <v>58</v>
      </c>
      <c r="O670" s="68" t="s">
        <v>15</v>
      </c>
      <c r="P670" s="61" t="s">
        <v>1735</v>
      </c>
      <c r="Q670" s="69" t="s">
        <v>1868</v>
      </c>
    </row>
    <row r="671" spans="1:17" ht="63" x14ac:dyDescent="0.25">
      <c r="A671" s="284"/>
      <c r="B671" s="324"/>
      <c r="C671" s="70" t="s">
        <v>175</v>
      </c>
      <c r="D671" s="71">
        <v>310.10000000000002</v>
      </c>
      <c r="E671" s="71">
        <v>310.10000000000002</v>
      </c>
      <c r="F671" s="72"/>
      <c r="G671" s="80">
        <f t="shared" si="35"/>
        <v>1</v>
      </c>
      <c r="H671" s="246" t="s">
        <v>1156</v>
      </c>
      <c r="I671" s="247" t="s">
        <v>464</v>
      </c>
      <c r="J671" s="248">
        <v>75</v>
      </c>
      <c r="K671" s="285">
        <v>57</v>
      </c>
      <c r="L671" s="76" t="s">
        <v>20</v>
      </c>
      <c r="M671" s="76" t="s">
        <v>15</v>
      </c>
      <c r="N671" s="76" t="s">
        <v>1160</v>
      </c>
      <c r="O671" s="76" t="s">
        <v>15</v>
      </c>
      <c r="P671" s="246" t="s">
        <v>1227</v>
      </c>
      <c r="Q671" s="286"/>
    </row>
    <row r="672" spans="1:17" ht="15.75" x14ac:dyDescent="0.25">
      <c r="A672" s="284"/>
      <c r="B672" s="324"/>
      <c r="C672" s="70" t="s">
        <v>165</v>
      </c>
      <c r="D672" s="71">
        <v>20.9</v>
      </c>
      <c r="E672" s="71"/>
      <c r="F672" s="72">
        <v>20.9</v>
      </c>
      <c r="G672" s="80">
        <f t="shared" si="35"/>
        <v>0</v>
      </c>
      <c r="H672" s="213"/>
      <c r="I672" s="216"/>
      <c r="J672" s="219"/>
      <c r="K672" s="222"/>
      <c r="L672" s="76"/>
      <c r="M672" s="76"/>
      <c r="N672" s="76"/>
      <c r="O672" s="76"/>
      <c r="P672" s="213"/>
      <c r="Q672" s="228"/>
    </row>
    <row r="673" spans="1:17" ht="15.75" x14ac:dyDescent="0.25">
      <c r="A673" s="284"/>
      <c r="B673" s="324"/>
      <c r="C673" s="70" t="s">
        <v>27</v>
      </c>
      <c r="D673" s="71">
        <v>550.70000000000005</v>
      </c>
      <c r="E673" s="71">
        <v>548.70000000000005</v>
      </c>
      <c r="F673" s="72">
        <v>2</v>
      </c>
      <c r="G673" s="80">
        <f t="shared" si="35"/>
        <v>0.99636825857998912</v>
      </c>
      <c r="H673" s="213"/>
      <c r="I673" s="216"/>
      <c r="J673" s="219"/>
      <c r="K673" s="222"/>
      <c r="L673" s="76"/>
      <c r="M673" s="76"/>
      <c r="N673" s="76"/>
      <c r="O673" s="76"/>
      <c r="P673" s="213"/>
      <c r="Q673" s="228"/>
    </row>
    <row r="674" spans="1:17" ht="16.5" thickBot="1" x14ac:dyDescent="0.3">
      <c r="A674" s="281"/>
      <c r="B674" s="283"/>
      <c r="C674" s="70" t="s">
        <v>169</v>
      </c>
      <c r="D674" s="71">
        <v>7.6</v>
      </c>
      <c r="E674" s="71">
        <v>5.4</v>
      </c>
      <c r="F674" s="72">
        <v>2.2000000000000002</v>
      </c>
      <c r="G674" s="91">
        <f t="shared" si="35"/>
        <v>0.71052631578947378</v>
      </c>
      <c r="H674" s="214"/>
      <c r="I674" s="217"/>
      <c r="J674" s="220"/>
      <c r="K674" s="223"/>
      <c r="L674" s="76"/>
      <c r="M674" s="76"/>
      <c r="N674" s="76"/>
      <c r="O674" s="76"/>
      <c r="P674" s="214"/>
      <c r="Q674" s="229"/>
    </row>
    <row r="675" spans="1:17" ht="229.5" customHeight="1" x14ac:dyDescent="0.25">
      <c r="A675" s="280" t="s">
        <v>1228</v>
      </c>
      <c r="B675" s="282" t="s">
        <v>1229</v>
      </c>
      <c r="C675" s="61"/>
      <c r="D675" s="62">
        <f>SUM(D676:D678)</f>
        <v>94.6</v>
      </c>
      <c r="E675" s="62">
        <f>SUM(E676:E678)</f>
        <v>41.7</v>
      </c>
      <c r="F675" s="63">
        <f>SUM(F676:F678)</f>
        <v>52.9</v>
      </c>
      <c r="G675" s="79">
        <f t="shared" si="35"/>
        <v>0.44080338266384783</v>
      </c>
      <c r="H675" s="146" t="s">
        <v>1216</v>
      </c>
      <c r="I675" s="65" t="s">
        <v>19</v>
      </c>
      <c r="J675" s="66">
        <v>0</v>
      </c>
      <c r="K675" s="109">
        <v>1</v>
      </c>
      <c r="L675" s="68" t="s">
        <v>29</v>
      </c>
      <c r="M675" s="68" t="s">
        <v>15</v>
      </c>
      <c r="N675" s="68"/>
      <c r="O675" s="68"/>
      <c r="P675" s="61" t="s">
        <v>1230</v>
      </c>
      <c r="Q675" s="132" t="s">
        <v>1813</v>
      </c>
    </row>
    <row r="676" spans="1:17" ht="78.75" x14ac:dyDescent="0.25">
      <c r="A676" s="284"/>
      <c r="B676" s="324"/>
      <c r="C676" s="70" t="s">
        <v>27</v>
      </c>
      <c r="D676" s="71">
        <v>94.6</v>
      </c>
      <c r="E676" s="71">
        <v>41.7</v>
      </c>
      <c r="F676" s="72">
        <v>52.9</v>
      </c>
      <c r="G676" s="80">
        <f t="shared" si="35"/>
        <v>0.44080338266384783</v>
      </c>
      <c r="H676" s="70" t="s">
        <v>1231</v>
      </c>
      <c r="I676" s="73" t="s">
        <v>19</v>
      </c>
      <c r="J676" s="74">
        <v>0</v>
      </c>
      <c r="K676" s="74">
        <v>0</v>
      </c>
      <c r="L676" s="76" t="s">
        <v>29</v>
      </c>
      <c r="M676" s="76" t="s">
        <v>15</v>
      </c>
      <c r="N676" s="76"/>
      <c r="O676" s="76"/>
      <c r="P676" s="70" t="s">
        <v>1232</v>
      </c>
      <c r="Q676" s="77" t="s">
        <v>1736</v>
      </c>
    </row>
    <row r="677" spans="1:17" ht="63" x14ac:dyDescent="0.25">
      <c r="A677" s="284"/>
      <c r="B677" s="324"/>
      <c r="C677" s="70"/>
      <c r="D677" s="71"/>
      <c r="E677" s="71"/>
      <c r="F677" s="72"/>
      <c r="G677" s="72"/>
      <c r="H677" s="70" t="s">
        <v>1233</v>
      </c>
      <c r="I677" s="73" t="s">
        <v>19</v>
      </c>
      <c r="J677" s="74">
        <v>30</v>
      </c>
      <c r="K677" s="111">
        <v>34</v>
      </c>
      <c r="L677" s="76" t="s">
        <v>267</v>
      </c>
      <c r="M677" s="76" t="s">
        <v>15</v>
      </c>
      <c r="N677" s="76"/>
      <c r="O677" s="76"/>
      <c r="P677" s="70" t="s">
        <v>1234</v>
      </c>
      <c r="Q677" s="77"/>
    </row>
    <row r="678" spans="1:17" ht="63.75" thickBot="1" x14ac:dyDescent="0.3">
      <c r="A678" s="281"/>
      <c r="B678" s="283"/>
      <c r="C678" s="70"/>
      <c r="D678" s="71"/>
      <c r="E678" s="71"/>
      <c r="F678" s="72"/>
      <c r="G678" s="72"/>
      <c r="H678" s="70" t="s">
        <v>1235</v>
      </c>
      <c r="I678" s="73" t="s">
        <v>19</v>
      </c>
      <c r="J678" s="74">
        <v>0</v>
      </c>
      <c r="K678" s="111">
        <v>1</v>
      </c>
      <c r="L678" s="76" t="s">
        <v>29</v>
      </c>
      <c r="M678" s="76" t="s">
        <v>15</v>
      </c>
      <c r="N678" s="76"/>
      <c r="O678" s="76"/>
      <c r="P678" s="70" t="s">
        <v>1236</v>
      </c>
      <c r="Q678" s="77"/>
    </row>
    <row r="679" spans="1:17" ht="142.5" thickBot="1" x14ac:dyDescent="0.3">
      <c r="A679" s="93" t="s">
        <v>1237</v>
      </c>
      <c r="B679" s="94" t="s">
        <v>1238</v>
      </c>
      <c r="C679" s="61" t="s">
        <v>27</v>
      </c>
      <c r="D679" s="95">
        <v>50</v>
      </c>
      <c r="E679" s="95"/>
      <c r="F679" s="96">
        <v>50</v>
      </c>
      <c r="G679" s="79">
        <f>SUM(E679/D679)</f>
        <v>0</v>
      </c>
      <c r="H679" s="61" t="s">
        <v>1239</v>
      </c>
      <c r="I679" s="65" t="s">
        <v>14</v>
      </c>
      <c r="J679" s="66">
        <v>100</v>
      </c>
      <c r="K679" s="67">
        <v>0</v>
      </c>
      <c r="L679" s="68"/>
      <c r="M679" s="68"/>
      <c r="N679" s="68"/>
      <c r="O679" s="68"/>
      <c r="P679" s="61"/>
      <c r="Q679" s="69" t="s">
        <v>1814</v>
      </c>
    </row>
    <row r="680" spans="1:17" ht="142.5" thickBot="1" x14ac:dyDescent="0.3">
      <c r="A680" s="53" t="s">
        <v>1240</v>
      </c>
      <c r="B680" s="54" t="s">
        <v>1241</v>
      </c>
      <c r="C680" s="55"/>
      <c r="D680" s="56">
        <f>D681+D683+D684+D685+D689</f>
        <v>517.1</v>
      </c>
      <c r="E680" s="56">
        <f>E681+E683+E684+E685+E689</f>
        <v>7.9</v>
      </c>
      <c r="F680" s="56">
        <f>F681+F683+F684+F685+F689</f>
        <v>509.20000000000005</v>
      </c>
      <c r="G680" s="57">
        <f>SUM(E680/D680)</f>
        <v>1.527750918584413E-2</v>
      </c>
      <c r="H680" s="55"/>
      <c r="I680" s="58"/>
      <c r="J680" s="59"/>
      <c r="K680" s="59"/>
      <c r="L680" s="60"/>
      <c r="M680" s="60"/>
      <c r="N680" s="60"/>
      <c r="O680" s="60"/>
      <c r="P680" s="210"/>
      <c r="Q680" s="211"/>
    </row>
    <row r="681" spans="1:17" ht="63" x14ac:dyDescent="0.25">
      <c r="A681" s="93" t="s">
        <v>1242</v>
      </c>
      <c r="B681" s="94" t="s">
        <v>1243</v>
      </c>
      <c r="C681" s="61"/>
      <c r="D681" s="62">
        <f>SUM(D682:D682)</f>
        <v>4.5</v>
      </c>
      <c r="E681" s="62">
        <f>SUM(E682:E682)</f>
        <v>4.4000000000000004</v>
      </c>
      <c r="F681" s="63">
        <f>SUM(F682:F682)</f>
        <v>0.1</v>
      </c>
      <c r="G681" s="79">
        <f>SUM(E681/D681)</f>
        <v>0.97777777777777786</v>
      </c>
      <c r="H681" s="212" t="s">
        <v>277</v>
      </c>
      <c r="I681" s="215" t="s">
        <v>19</v>
      </c>
      <c r="J681" s="218">
        <v>2</v>
      </c>
      <c r="K681" s="243">
        <v>2</v>
      </c>
      <c r="L681" s="68"/>
      <c r="M681" s="68"/>
      <c r="N681" s="68"/>
      <c r="O681" s="68"/>
      <c r="P681" s="212" t="s">
        <v>1244</v>
      </c>
      <c r="Q681" s="227" t="s">
        <v>1737</v>
      </c>
    </row>
    <row r="682" spans="1:17" ht="15" customHeight="1" thickBot="1" x14ac:dyDescent="0.3">
      <c r="A682" s="99"/>
      <c r="B682" s="100"/>
      <c r="C682" s="70" t="s">
        <v>37</v>
      </c>
      <c r="D682" s="71">
        <v>4.5</v>
      </c>
      <c r="E682" s="71">
        <v>4.4000000000000004</v>
      </c>
      <c r="F682" s="72">
        <v>0.1</v>
      </c>
      <c r="G682" s="125">
        <f>SUM(E682/D682)</f>
        <v>0.97777777777777786</v>
      </c>
      <c r="H682" s="214"/>
      <c r="I682" s="217"/>
      <c r="J682" s="220"/>
      <c r="K682" s="245"/>
      <c r="L682" s="76"/>
      <c r="M682" s="76"/>
      <c r="N682" s="76"/>
      <c r="O682" s="76"/>
      <c r="P682" s="214"/>
      <c r="Q682" s="229"/>
    </row>
    <row r="683" spans="1:17" ht="95.25" hidden="1" thickBot="1" x14ac:dyDescent="0.3">
      <c r="A683" s="93" t="s">
        <v>1245</v>
      </c>
      <c r="B683" s="94" t="s">
        <v>1246</v>
      </c>
      <c r="C683" s="61" t="s">
        <v>27</v>
      </c>
      <c r="D683" s="95"/>
      <c r="E683" s="95"/>
      <c r="F683" s="96"/>
      <c r="G683" s="96"/>
      <c r="H683" s="61" t="s">
        <v>1247</v>
      </c>
      <c r="I683" s="65" t="s">
        <v>14</v>
      </c>
      <c r="J683" s="66">
        <v>0</v>
      </c>
      <c r="K683" s="66">
        <v>0</v>
      </c>
      <c r="L683" s="68" t="s">
        <v>146</v>
      </c>
      <c r="M683" s="68" t="s">
        <v>15</v>
      </c>
      <c r="N683" s="68" t="s">
        <v>54</v>
      </c>
      <c r="O683" s="68" t="s">
        <v>15</v>
      </c>
      <c r="P683" s="61"/>
      <c r="Q683" s="69"/>
    </row>
    <row r="684" spans="1:17" ht="79.5" hidden="1" thickBot="1" x14ac:dyDescent="0.3">
      <c r="A684" s="93" t="s">
        <v>1248</v>
      </c>
      <c r="B684" s="94" t="s">
        <v>1249</v>
      </c>
      <c r="C684" s="61" t="s">
        <v>27</v>
      </c>
      <c r="D684" s="95"/>
      <c r="E684" s="95"/>
      <c r="F684" s="96"/>
      <c r="G684" s="96"/>
      <c r="H684" s="61" t="s">
        <v>444</v>
      </c>
      <c r="I684" s="65" t="s">
        <v>14</v>
      </c>
      <c r="J684" s="66">
        <v>0</v>
      </c>
      <c r="K684" s="66">
        <v>0</v>
      </c>
      <c r="L684" s="68" t="s">
        <v>147</v>
      </c>
      <c r="M684" s="68" t="s">
        <v>15</v>
      </c>
      <c r="N684" s="68" t="s">
        <v>146</v>
      </c>
      <c r="O684" s="68" t="s">
        <v>15</v>
      </c>
      <c r="P684" s="61"/>
      <c r="Q684" s="69"/>
    </row>
    <row r="685" spans="1:17" ht="82.5" customHeight="1" x14ac:dyDescent="0.25">
      <c r="A685" s="280" t="s">
        <v>1250</v>
      </c>
      <c r="B685" s="282" t="s">
        <v>1251</v>
      </c>
      <c r="C685" s="61"/>
      <c r="D685" s="62">
        <f>SUM(D686:D688)</f>
        <v>512.6</v>
      </c>
      <c r="E685" s="62">
        <f>SUM(E686:E688)</f>
        <v>3.5</v>
      </c>
      <c r="F685" s="63">
        <f>SUM(F686:F688)</f>
        <v>509.1</v>
      </c>
      <c r="G685" s="79">
        <f>SUM(E685/D685)</f>
        <v>6.8279360124853684E-3</v>
      </c>
      <c r="H685" s="265" t="s">
        <v>444</v>
      </c>
      <c r="I685" s="294" t="s">
        <v>14</v>
      </c>
      <c r="J685" s="218">
        <v>5</v>
      </c>
      <c r="K685" s="297">
        <v>0</v>
      </c>
      <c r="L685" s="68"/>
      <c r="M685" s="68"/>
      <c r="N685" s="68"/>
      <c r="O685" s="68"/>
      <c r="P685" s="212" t="s">
        <v>1252</v>
      </c>
      <c r="Q685" s="227" t="s">
        <v>1738</v>
      </c>
    </row>
    <row r="686" spans="1:17" ht="24.75" customHeight="1" x14ac:dyDescent="0.25">
      <c r="A686" s="284"/>
      <c r="B686" s="324"/>
      <c r="C686" s="70" t="s">
        <v>27</v>
      </c>
      <c r="D686" s="71">
        <v>3.2</v>
      </c>
      <c r="E686" s="71">
        <v>3</v>
      </c>
      <c r="F686" s="72">
        <v>0.2</v>
      </c>
      <c r="G686" s="80">
        <f>SUM(E686/D686)</f>
        <v>0.9375</v>
      </c>
      <c r="H686" s="293"/>
      <c r="I686" s="295"/>
      <c r="J686" s="219"/>
      <c r="K686" s="298"/>
      <c r="L686" s="76" t="s">
        <v>29</v>
      </c>
      <c r="M686" s="76" t="s">
        <v>15</v>
      </c>
      <c r="N686" s="76"/>
      <c r="O686" s="76"/>
      <c r="P686" s="213"/>
      <c r="Q686" s="228"/>
    </row>
    <row r="687" spans="1:17" ht="30.75" customHeight="1" x14ac:dyDescent="0.25">
      <c r="A687" s="284"/>
      <c r="B687" s="324"/>
      <c r="C687" s="70" t="s">
        <v>175</v>
      </c>
      <c r="D687" s="71">
        <v>2.6</v>
      </c>
      <c r="E687" s="71"/>
      <c r="F687" s="72">
        <v>2.6</v>
      </c>
      <c r="G687" s="80">
        <f>SUM(E687/D687)</f>
        <v>0</v>
      </c>
      <c r="H687" s="293"/>
      <c r="I687" s="295"/>
      <c r="J687" s="219"/>
      <c r="K687" s="298"/>
      <c r="L687" s="76"/>
      <c r="M687" s="76"/>
      <c r="N687" s="76" t="s">
        <v>60</v>
      </c>
      <c r="O687" s="76" t="s">
        <v>15</v>
      </c>
      <c r="P687" s="213"/>
      <c r="Q687" s="228"/>
    </row>
    <row r="688" spans="1:17" ht="30.75" customHeight="1" thickBot="1" x14ac:dyDescent="0.3">
      <c r="A688" s="281"/>
      <c r="B688" s="283"/>
      <c r="C688" s="70" t="s">
        <v>229</v>
      </c>
      <c r="D688" s="71">
        <v>506.8</v>
      </c>
      <c r="E688" s="71">
        <v>0.5</v>
      </c>
      <c r="F688" s="72">
        <v>506.3</v>
      </c>
      <c r="G688" s="91">
        <f>SUM(E688/D688)</f>
        <v>9.8658247829518553E-4</v>
      </c>
      <c r="H688" s="266"/>
      <c r="I688" s="296"/>
      <c r="J688" s="220"/>
      <c r="K688" s="299"/>
      <c r="L688" s="76"/>
      <c r="M688" s="76"/>
      <c r="N688" s="76"/>
      <c r="O688" s="76"/>
      <c r="P688" s="214"/>
      <c r="Q688" s="229"/>
    </row>
    <row r="689" spans="1:17" ht="63.75" thickBot="1" x14ac:dyDescent="0.3">
      <c r="A689" s="93" t="s">
        <v>1253</v>
      </c>
      <c r="B689" s="94" t="s">
        <v>1254</v>
      </c>
      <c r="C689" s="61"/>
      <c r="D689" s="95"/>
      <c r="E689" s="95"/>
      <c r="F689" s="96"/>
      <c r="G689" s="96"/>
      <c r="H689" s="61" t="s">
        <v>1255</v>
      </c>
      <c r="I689" s="65" t="s">
        <v>14</v>
      </c>
      <c r="J689" s="66">
        <v>50</v>
      </c>
      <c r="K689" s="67">
        <v>0</v>
      </c>
      <c r="L689" s="68"/>
      <c r="M689" s="68"/>
      <c r="N689" s="68"/>
      <c r="O689" s="68"/>
      <c r="P689" s="129"/>
      <c r="Q689" s="132" t="s">
        <v>1256</v>
      </c>
    </row>
    <row r="690" spans="1:17" ht="111" thickBot="1" x14ac:dyDescent="0.3">
      <c r="A690" s="53" t="s">
        <v>1257</v>
      </c>
      <c r="B690" s="54" t="s">
        <v>1258</v>
      </c>
      <c r="C690" s="55"/>
      <c r="D690" s="56">
        <f>SUM(D691:D691)</f>
        <v>238.3</v>
      </c>
      <c r="E690" s="56">
        <f>SUM(E691:E691)</f>
        <v>233.00000000000003</v>
      </c>
      <c r="F690" s="56">
        <f>SUM(F691:F691)</f>
        <v>5.1999999999999993</v>
      </c>
      <c r="G690" s="57">
        <f t="shared" ref="G690:G706" si="36">SUM(E690/D690)</f>
        <v>0.9777591271506505</v>
      </c>
      <c r="H690" s="55"/>
      <c r="I690" s="58"/>
      <c r="J690" s="59"/>
      <c r="K690" s="59"/>
      <c r="L690" s="60"/>
      <c r="M690" s="60"/>
      <c r="N690" s="60"/>
      <c r="O690" s="60"/>
      <c r="P690" s="210"/>
      <c r="Q690" s="211"/>
    </row>
    <row r="691" spans="1:17" ht="51" customHeight="1" x14ac:dyDescent="0.25">
      <c r="A691" s="280" t="s">
        <v>1259</v>
      </c>
      <c r="B691" s="282" t="s">
        <v>1260</v>
      </c>
      <c r="C691" s="61"/>
      <c r="D691" s="62">
        <f>SUM(D692:D693)</f>
        <v>238.3</v>
      </c>
      <c r="E691" s="62">
        <f>SUM(E692:E693)-0.1</f>
        <v>233.00000000000003</v>
      </c>
      <c r="F691" s="63">
        <f>SUM(F692:F693)</f>
        <v>5.1999999999999993</v>
      </c>
      <c r="G691" s="79">
        <f t="shared" si="36"/>
        <v>0.9777591271506505</v>
      </c>
      <c r="H691" s="61" t="s">
        <v>1261</v>
      </c>
      <c r="I691" s="65" t="s">
        <v>464</v>
      </c>
      <c r="J691" s="66">
        <v>15</v>
      </c>
      <c r="K691" s="89">
        <v>15</v>
      </c>
      <c r="L691" s="68" t="s">
        <v>383</v>
      </c>
      <c r="M691" s="68" t="s">
        <v>15</v>
      </c>
      <c r="N691" s="68" t="s">
        <v>383</v>
      </c>
      <c r="O691" s="68" t="s">
        <v>15</v>
      </c>
      <c r="P691" s="61"/>
      <c r="Q691" s="69" t="s">
        <v>1740</v>
      </c>
    </row>
    <row r="692" spans="1:17" ht="63" x14ac:dyDescent="0.25">
      <c r="A692" s="284"/>
      <c r="B692" s="324"/>
      <c r="C692" s="70" t="s">
        <v>27</v>
      </c>
      <c r="D692" s="71">
        <v>50.4</v>
      </c>
      <c r="E692" s="71">
        <v>49.8</v>
      </c>
      <c r="F692" s="72">
        <v>0.6</v>
      </c>
      <c r="G692" s="80">
        <f t="shared" si="36"/>
        <v>0.98809523809523803</v>
      </c>
      <c r="H692" s="246" t="s">
        <v>1156</v>
      </c>
      <c r="I692" s="247" t="s">
        <v>464</v>
      </c>
      <c r="J692" s="248">
        <v>926</v>
      </c>
      <c r="K692" s="285">
        <v>852</v>
      </c>
      <c r="L692" s="76" t="s">
        <v>1130</v>
      </c>
      <c r="M692" s="76" t="s">
        <v>15</v>
      </c>
      <c r="N692" s="76" t="s">
        <v>1130</v>
      </c>
      <c r="O692" s="76" t="s">
        <v>15</v>
      </c>
      <c r="P692" s="246" t="s">
        <v>1739</v>
      </c>
      <c r="Q692" s="286"/>
    </row>
    <row r="693" spans="1:17" ht="26.25" customHeight="1" thickBot="1" x14ac:dyDescent="0.3">
      <c r="A693" s="281"/>
      <c r="B693" s="283"/>
      <c r="C693" s="70" t="s">
        <v>160</v>
      </c>
      <c r="D693" s="71">
        <v>187.9</v>
      </c>
      <c r="E693" s="71">
        <v>183.3</v>
      </c>
      <c r="F693" s="72">
        <v>4.5999999999999996</v>
      </c>
      <c r="G693" s="91">
        <f t="shared" si="36"/>
        <v>0.97551889302820649</v>
      </c>
      <c r="H693" s="214"/>
      <c r="I693" s="217"/>
      <c r="J693" s="220"/>
      <c r="K693" s="223"/>
      <c r="L693" s="76"/>
      <c r="M693" s="76"/>
      <c r="N693" s="76"/>
      <c r="O693" s="76"/>
      <c r="P693" s="214"/>
      <c r="Q693" s="229"/>
    </row>
    <row r="694" spans="1:17" ht="63.75" thickBot="1" x14ac:dyDescent="0.3">
      <c r="A694" s="53" t="s">
        <v>1262</v>
      </c>
      <c r="B694" s="54" t="s">
        <v>1263</v>
      </c>
      <c r="C694" s="55"/>
      <c r="D694" s="56">
        <f>SUM(D695:D695)</f>
        <v>3357.4</v>
      </c>
      <c r="E694" s="56">
        <f>SUM(E695:E695)</f>
        <v>3091.2999999999997</v>
      </c>
      <c r="F694" s="56">
        <f>SUM(F695:F695)</f>
        <v>266.10000000000002</v>
      </c>
      <c r="G694" s="57">
        <f t="shared" si="36"/>
        <v>0.9207422410198367</v>
      </c>
      <c r="H694" s="55"/>
      <c r="I694" s="58"/>
      <c r="J694" s="59"/>
      <c r="K694" s="59"/>
      <c r="L694" s="60"/>
      <c r="M694" s="60"/>
      <c r="N694" s="60"/>
      <c r="O694" s="60"/>
      <c r="P694" s="210"/>
      <c r="Q694" s="211"/>
    </row>
    <row r="695" spans="1:17" ht="243" customHeight="1" x14ac:dyDescent="0.25">
      <c r="A695" s="280" t="s">
        <v>1264</v>
      </c>
      <c r="B695" s="282" t="s">
        <v>1265</v>
      </c>
      <c r="C695" s="61"/>
      <c r="D695" s="62">
        <f>SUM(D696:D698)</f>
        <v>3357.4</v>
      </c>
      <c r="E695" s="62">
        <f>SUM(E696:E698)</f>
        <v>3091.2999999999997</v>
      </c>
      <c r="F695" s="63">
        <f>SUM(F696:F698)</f>
        <v>266.10000000000002</v>
      </c>
      <c r="G695" s="79">
        <f t="shared" si="36"/>
        <v>0.9207422410198367</v>
      </c>
      <c r="H695" s="61" t="s">
        <v>1266</v>
      </c>
      <c r="I695" s="65" t="s">
        <v>464</v>
      </c>
      <c r="J695" s="121">
        <v>17000</v>
      </c>
      <c r="K695" s="180">
        <v>9451</v>
      </c>
      <c r="L695" s="68" t="s">
        <v>472</v>
      </c>
      <c r="M695" s="68" t="s">
        <v>15</v>
      </c>
      <c r="N695" s="68" t="s">
        <v>472</v>
      </c>
      <c r="O695" s="68" t="s">
        <v>15</v>
      </c>
      <c r="P695" s="61" t="s">
        <v>1267</v>
      </c>
      <c r="Q695" s="69" t="s">
        <v>1815</v>
      </c>
    </row>
    <row r="696" spans="1:17" ht="38.25" customHeight="1" x14ac:dyDescent="0.25">
      <c r="A696" s="284"/>
      <c r="B696" s="324"/>
      <c r="C696" s="70" t="s">
        <v>27</v>
      </c>
      <c r="D696" s="71">
        <v>1390</v>
      </c>
      <c r="E696" s="71">
        <v>1191.0999999999999</v>
      </c>
      <c r="F696" s="72">
        <v>198.9</v>
      </c>
      <c r="G696" s="80">
        <f t="shared" si="36"/>
        <v>0.85690647482014382</v>
      </c>
      <c r="H696" s="246" t="s">
        <v>1268</v>
      </c>
      <c r="I696" s="247" t="s">
        <v>464</v>
      </c>
      <c r="J696" s="287">
        <v>1701</v>
      </c>
      <c r="K696" s="290">
        <v>1591</v>
      </c>
      <c r="L696" s="76" t="s">
        <v>1269</v>
      </c>
      <c r="M696" s="76" t="s">
        <v>15</v>
      </c>
      <c r="N696" s="76" t="s">
        <v>1269</v>
      </c>
      <c r="O696" s="76" t="s">
        <v>15</v>
      </c>
      <c r="P696" s="300" t="s">
        <v>1267</v>
      </c>
      <c r="Q696" s="286" t="s">
        <v>1717</v>
      </c>
    </row>
    <row r="697" spans="1:17" ht="27" customHeight="1" x14ac:dyDescent="0.25">
      <c r="A697" s="284"/>
      <c r="B697" s="324"/>
      <c r="C697" s="70" t="s">
        <v>37</v>
      </c>
      <c r="D697" s="71">
        <v>1392</v>
      </c>
      <c r="E697" s="71">
        <v>1378.6</v>
      </c>
      <c r="F697" s="72">
        <v>13.4</v>
      </c>
      <c r="G697" s="80">
        <f t="shared" si="36"/>
        <v>0.99037356321839076</v>
      </c>
      <c r="H697" s="213"/>
      <c r="I697" s="216"/>
      <c r="J697" s="288"/>
      <c r="K697" s="291"/>
      <c r="L697" s="76"/>
      <c r="M697" s="76"/>
      <c r="N697" s="76"/>
      <c r="O697" s="76"/>
      <c r="P697" s="293"/>
      <c r="Q697" s="228"/>
    </row>
    <row r="698" spans="1:17" ht="30" customHeight="1" thickBot="1" x14ac:dyDescent="0.3">
      <c r="A698" s="281"/>
      <c r="B698" s="283"/>
      <c r="C698" s="70" t="s">
        <v>1071</v>
      </c>
      <c r="D698" s="71">
        <v>575.4</v>
      </c>
      <c r="E698" s="71">
        <v>521.6</v>
      </c>
      <c r="F698" s="72">
        <v>53.8</v>
      </c>
      <c r="G698" s="91">
        <f t="shared" si="36"/>
        <v>0.90649982620785552</v>
      </c>
      <c r="H698" s="214"/>
      <c r="I698" s="217"/>
      <c r="J698" s="289"/>
      <c r="K698" s="292"/>
      <c r="L698" s="76"/>
      <c r="M698" s="76"/>
      <c r="N698" s="76"/>
      <c r="O698" s="76"/>
      <c r="P698" s="266"/>
      <c r="Q698" s="229"/>
    </row>
    <row r="699" spans="1:17" ht="32.25" thickBot="1" x14ac:dyDescent="0.3">
      <c r="A699" s="53" t="s">
        <v>1270</v>
      </c>
      <c r="B699" s="54" t="s">
        <v>1271</v>
      </c>
      <c r="C699" s="55"/>
      <c r="D699" s="56">
        <f>SUM(D700:D701)</f>
        <v>18497.7</v>
      </c>
      <c r="E699" s="56">
        <f>SUM(E700:E701)</f>
        <v>18496.5</v>
      </c>
      <c r="F699" s="56">
        <f>SUM(F700:F701)</f>
        <v>1.2</v>
      </c>
      <c r="G699" s="57">
        <f t="shared" si="36"/>
        <v>0.99993512706985188</v>
      </c>
      <c r="H699" s="55"/>
      <c r="I699" s="58"/>
      <c r="J699" s="59"/>
      <c r="K699" s="59"/>
      <c r="L699" s="60"/>
      <c r="M699" s="60"/>
      <c r="N699" s="60"/>
      <c r="O699" s="60"/>
      <c r="P699" s="210"/>
      <c r="Q699" s="211"/>
    </row>
    <row r="700" spans="1:17" ht="63.75" thickBot="1" x14ac:dyDescent="0.3">
      <c r="A700" s="93" t="s">
        <v>1272</v>
      </c>
      <c r="B700" s="94" t="s">
        <v>1273</v>
      </c>
      <c r="C700" s="61" t="s">
        <v>160</v>
      </c>
      <c r="D700" s="95">
        <v>18369.2</v>
      </c>
      <c r="E700" s="95">
        <v>18369.2</v>
      </c>
      <c r="F700" s="96"/>
      <c r="G700" s="79">
        <f t="shared" si="36"/>
        <v>1</v>
      </c>
      <c r="H700" s="61" t="s">
        <v>1274</v>
      </c>
      <c r="I700" s="65" t="s">
        <v>464</v>
      </c>
      <c r="J700" s="121">
        <v>19000</v>
      </c>
      <c r="K700" s="122">
        <v>20539</v>
      </c>
      <c r="L700" s="68" t="s">
        <v>1275</v>
      </c>
      <c r="M700" s="68" t="s">
        <v>15</v>
      </c>
      <c r="N700" s="68" t="s">
        <v>1275</v>
      </c>
      <c r="O700" s="68" t="s">
        <v>15</v>
      </c>
      <c r="P700" s="61" t="s">
        <v>1267</v>
      </c>
      <c r="Q700" s="90"/>
    </row>
    <row r="701" spans="1:17" ht="63.75" thickBot="1" x14ac:dyDescent="0.3">
      <c r="A701" s="93" t="s">
        <v>1276</v>
      </c>
      <c r="B701" s="94" t="s">
        <v>1277</v>
      </c>
      <c r="C701" s="61" t="s">
        <v>160</v>
      </c>
      <c r="D701" s="95">
        <v>128.5</v>
      </c>
      <c r="E701" s="95">
        <v>127.3</v>
      </c>
      <c r="F701" s="96">
        <v>1.2</v>
      </c>
      <c r="G701" s="79">
        <f t="shared" si="36"/>
        <v>0.99066147859922182</v>
      </c>
      <c r="H701" s="61" t="s">
        <v>1278</v>
      </c>
      <c r="I701" s="65" t="s">
        <v>464</v>
      </c>
      <c r="J701" s="66">
        <v>33</v>
      </c>
      <c r="K701" s="89">
        <v>33</v>
      </c>
      <c r="L701" s="68" t="s">
        <v>814</v>
      </c>
      <c r="M701" s="68" t="s">
        <v>15</v>
      </c>
      <c r="N701" s="68" t="s">
        <v>814</v>
      </c>
      <c r="O701" s="68" t="s">
        <v>15</v>
      </c>
      <c r="P701" s="61"/>
      <c r="Q701" s="69"/>
    </row>
    <row r="702" spans="1:17" ht="48" thickBot="1" x14ac:dyDescent="0.3">
      <c r="A702" s="53" t="s">
        <v>1279</v>
      </c>
      <c r="B702" s="54" t="s">
        <v>1280</v>
      </c>
      <c r="C702" s="55"/>
      <c r="D702" s="56">
        <f>SUM(D703:D704)</f>
        <v>7200.4</v>
      </c>
      <c r="E702" s="56">
        <f>SUM(E703:E704)</f>
        <v>7194</v>
      </c>
      <c r="F702" s="56">
        <f>SUM(F703:F704)</f>
        <v>6.4</v>
      </c>
      <c r="G702" s="57">
        <f t="shared" si="36"/>
        <v>0.99911116049108384</v>
      </c>
      <c r="H702" s="55"/>
      <c r="I702" s="58"/>
      <c r="J702" s="59"/>
      <c r="K702" s="59"/>
      <c r="L702" s="60"/>
      <c r="M702" s="60"/>
      <c r="N702" s="60"/>
      <c r="O702" s="60"/>
      <c r="P702" s="210"/>
      <c r="Q702" s="211"/>
    </row>
    <row r="703" spans="1:17" ht="63.75" thickBot="1" x14ac:dyDescent="0.3">
      <c r="A703" s="93" t="s">
        <v>1281</v>
      </c>
      <c r="B703" s="94" t="s">
        <v>1280</v>
      </c>
      <c r="C703" s="61" t="s">
        <v>160</v>
      </c>
      <c r="D703" s="95">
        <v>6923.5</v>
      </c>
      <c r="E703" s="95">
        <v>6923.5</v>
      </c>
      <c r="F703" s="96"/>
      <c r="G703" s="79">
        <f t="shared" si="36"/>
        <v>1</v>
      </c>
      <c r="H703" s="61" t="s">
        <v>1274</v>
      </c>
      <c r="I703" s="65" t="s">
        <v>464</v>
      </c>
      <c r="J703" s="121">
        <v>4180</v>
      </c>
      <c r="K703" s="180">
        <v>3606</v>
      </c>
      <c r="L703" s="68" t="s">
        <v>1282</v>
      </c>
      <c r="M703" s="68" t="s">
        <v>15</v>
      </c>
      <c r="N703" s="68" t="s">
        <v>1282</v>
      </c>
      <c r="O703" s="68" t="s">
        <v>15</v>
      </c>
      <c r="P703" s="61" t="s">
        <v>1267</v>
      </c>
      <c r="Q703" s="90"/>
    </row>
    <row r="704" spans="1:17" ht="63.75" thickBot="1" x14ac:dyDescent="0.3">
      <c r="A704" s="93" t="s">
        <v>1283</v>
      </c>
      <c r="B704" s="94" t="s">
        <v>1277</v>
      </c>
      <c r="C704" s="61" t="s">
        <v>160</v>
      </c>
      <c r="D704" s="95">
        <v>276.89999999999998</v>
      </c>
      <c r="E704" s="95">
        <v>270.5</v>
      </c>
      <c r="F704" s="96">
        <v>6.4</v>
      </c>
      <c r="G704" s="79">
        <f t="shared" si="36"/>
        <v>0.97688696280245579</v>
      </c>
      <c r="H704" s="61" t="s">
        <v>1278</v>
      </c>
      <c r="I704" s="65" t="s">
        <v>464</v>
      </c>
      <c r="J704" s="66">
        <v>33</v>
      </c>
      <c r="K704" s="89">
        <v>33</v>
      </c>
      <c r="L704" s="68" t="s">
        <v>814</v>
      </c>
      <c r="M704" s="68" t="s">
        <v>15</v>
      </c>
      <c r="N704" s="68" t="s">
        <v>814</v>
      </c>
      <c r="O704" s="68" t="s">
        <v>15</v>
      </c>
      <c r="P704" s="61"/>
      <c r="Q704" s="69"/>
    </row>
    <row r="705" spans="1:17" ht="79.5" thickBot="1" x14ac:dyDescent="0.3">
      <c r="A705" s="53" t="s">
        <v>1284</v>
      </c>
      <c r="B705" s="54" t="s">
        <v>1285</v>
      </c>
      <c r="C705" s="55"/>
      <c r="D705" s="56">
        <f>SUM(D706:D709)</f>
        <v>6.5</v>
      </c>
      <c r="E705" s="56">
        <f>SUM(E706:E709)</f>
        <v>6.3</v>
      </c>
      <c r="F705" s="56">
        <f>SUM(F706:F709)</f>
        <v>0.2</v>
      </c>
      <c r="G705" s="57">
        <f t="shared" si="36"/>
        <v>0.96923076923076923</v>
      </c>
      <c r="H705" s="55"/>
      <c r="I705" s="58"/>
      <c r="J705" s="59"/>
      <c r="K705" s="59"/>
      <c r="L705" s="60"/>
      <c r="M705" s="60"/>
      <c r="N705" s="60"/>
      <c r="O705" s="60"/>
      <c r="P705" s="210"/>
      <c r="Q705" s="211"/>
    </row>
    <row r="706" spans="1:17" ht="104.25" customHeight="1" thickBot="1" x14ac:dyDescent="0.3">
      <c r="A706" s="93" t="s">
        <v>1286</v>
      </c>
      <c r="B706" s="94" t="s">
        <v>1287</v>
      </c>
      <c r="C706" s="61" t="s">
        <v>160</v>
      </c>
      <c r="D706" s="95">
        <v>0.8</v>
      </c>
      <c r="E706" s="95">
        <v>0.8</v>
      </c>
      <c r="F706" s="96"/>
      <c r="G706" s="79">
        <f t="shared" si="36"/>
        <v>1</v>
      </c>
      <c r="H706" s="61" t="s">
        <v>1274</v>
      </c>
      <c r="I706" s="65" t="s">
        <v>464</v>
      </c>
      <c r="J706" s="66">
        <v>1</v>
      </c>
      <c r="K706" s="89">
        <v>1</v>
      </c>
      <c r="L706" s="68" t="s">
        <v>15</v>
      </c>
      <c r="M706" s="68" t="s">
        <v>15</v>
      </c>
      <c r="N706" s="68" t="s">
        <v>15</v>
      </c>
      <c r="O706" s="68" t="s">
        <v>15</v>
      </c>
      <c r="P706" s="61" t="s">
        <v>1267</v>
      </c>
      <c r="Q706" s="69"/>
    </row>
    <row r="707" spans="1:17" ht="44.25" hidden="1" customHeight="1" thickBot="1" x14ac:dyDescent="0.3">
      <c r="A707" s="93" t="s">
        <v>1288</v>
      </c>
      <c r="B707" s="94" t="s">
        <v>1289</v>
      </c>
      <c r="C707" s="61" t="s">
        <v>160</v>
      </c>
      <c r="D707" s="95"/>
      <c r="E707" s="95"/>
      <c r="F707" s="96"/>
      <c r="G707" s="96"/>
      <c r="H707" s="61"/>
      <c r="I707" s="65"/>
      <c r="J707" s="98"/>
      <c r="K707" s="98"/>
      <c r="L707" s="68"/>
      <c r="M707" s="68"/>
      <c r="N707" s="68"/>
      <c r="O707" s="68"/>
      <c r="P707" s="61"/>
      <c r="Q707" s="69"/>
    </row>
    <row r="708" spans="1:17" ht="126.75" thickBot="1" x14ac:dyDescent="0.3">
      <c r="A708" s="93" t="s">
        <v>1290</v>
      </c>
      <c r="B708" s="94" t="s">
        <v>1291</v>
      </c>
      <c r="C708" s="61" t="s">
        <v>1071</v>
      </c>
      <c r="D708" s="95">
        <v>0.7</v>
      </c>
      <c r="E708" s="95">
        <v>0.5</v>
      </c>
      <c r="F708" s="96">
        <v>0.2</v>
      </c>
      <c r="G708" s="79">
        <f t="shared" ref="G708:G739" si="37">SUM(E708/D708)</f>
        <v>0.7142857142857143</v>
      </c>
      <c r="H708" s="61" t="s">
        <v>1274</v>
      </c>
      <c r="I708" s="65" t="s">
        <v>464</v>
      </c>
      <c r="J708" s="66">
        <v>1</v>
      </c>
      <c r="K708" s="89">
        <v>1</v>
      </c>
      <c r="L708" s="68" t="s">
        <v>29</v>
      </c>
      <c r="M708" s="68" t="s">
        <v>15</v>
      </c>
      <c r="N708" s="68" t="s">
        <v>29</v>
      </c>
      <c r="O708" s="68" t="s">
        <v>15</v>
      </c>
      <c r="P708" s="61" t="s">
        <v>1267</v>
      </c>
      <c r="Q708" s="69" t="s">
        <v>1741</v>
      </c>
    </row>
    <row r="709" spans="1:17" ht="63.75" thickBot="1" x14ac:dyDescent="0.3">
      <c r="A709" s="93" t="s">
        <v>1292</v>
      </c>
      <c r="B709" s="94" t="s">
        <v>1293</v>
      </c>
      <c r="C709" s="61" t="s">
        <v>27</v>
      </c>
      <c r="D709" s="95">
        <v>5</v>
      </c>
      <c r="E709" s="95">
        <v>5</v>
      </c>
      <c r="F709" s="96"/>
      <c r="G709" s="79">
        <f t="shared" si="37"/>
        <v>1</v>
      </c>
      <c r="H709" s="61" t="s">
        <v>1274</v>
      </c>
      <c r="I709" s="65" t="s">
        <v>464</v>
      </c>
      <c r="J709" s="66">
        <v>2</v>
      </c>
      <c r="K709" s="89">
        <v>2</v>
      </c>
      <c r="L709" s="68" t="s">
        <v>42</v>
      </c>
      <c r="M709" s="68" t="s">
        <v>15</v>
      </c>
      <c r="N709" s="68" t="s">
        <v>42</v>
      </c>
      <c r="O709" s="68" t="s">
        <v>15</v>
      </c>
      <c r="P709" s="61" t="s">
        <v>1267</v>
      </c>
      <c r="Q709" s="90"/>
    </row>
    <row r="710" spans="1:17" ht="32.25" thickBot="1" x14ac:dyDescent="0.3">
      <c r="A710" s="53" t="s">
        <v>1294</v>
      </c>
      <c r="B710" s="54" t="s">
        <v>1295</v>
      </c>
      <c r="C710" s="55"/>
      <c r="D710" s="56">
        <f>SUM(D711:D711)</f>
        <v>1217.9000000000001</v>
      </c>
      <c r="E710" s="56">
        <f>SUM(E711:E711)</f>
        <v>1055.5</v>
      </c>
      <c r="F710" s="56">
        <f>SUM(F711:F711)</f>
        <v>162.4</v>
      </c>
      <c r="G710" s="57">
        <f t="shared" si="37"/>
        <v>0.86665571886033332</v>
      </c>
      <c r="H710" s="55"/>
      <c r="I710" s="58"/>
      <c r="J710" s="59"/>
      <c r="K710" s="59"/>
      <c r="L710" s="60"/>
      <c r="M710" s="60"/>
      <c r="N710" s="60"/>
      <c r="O710" s="60"/>
      <c r="P710" s="210"/>
      <c r="Q710" s="211"/>
    </row>
    <row r="711" spans="1:17" ht="63.75" thickBot="1" x14ac:dyDescent="0.3">
      <c r="A711" s="93" t="s">
        <v>1296</v>
      </c>
      <c r="B711" s="94" t="s">
        <v>1297</v>
      </c>
      <c r="C711" s="61" t="s">
        <v>1071</v>
      </c>
      <c r="D711" s="95">
        <v>1217.9000000000001</v>
      </c>
      <c r="E711" s="95">
        <v>1055.5</v>
      </c>
      <c r="F711" s="96">
        <v>162.4</v>
      </c>
      <c r="G711" s="79">
        <f t="shared" si="37"/>
        <v>0.86665571886033332</v>
      </c>
      <c r="H711" s="61" t="s">
        <v>1274</v>
      </c>
      <c r="I711" s="65" t="s">
        <v>464</v>
      </c>
      <c r="J711" s="121">
        <v>4300</v>
      </c>
      <c r="K711" s="180">
        <v>4241</v>
      </c>
      <c r="L711" s="68" t="s">
        <v>1298</v>
      </c>
      <c r="M711" s="68" t="s">
        <v>15</v>
      </c>
      <c r="N711" s="68" t="s">
        <v>1298</v>
      </c>
      <c r="O711" s="68" t="s">
        <v>15</v>
      </c>
      <c r="P711" s="61" t="s">
        <v>1267</v>
      </c>
      <c r="Q711" s="69" t="s">
        <v>1717</v>
      </c>
    </row>
    <row r="712" spans="1:17" ht="95.25" thickBot="1" x14ac:dyDescent="0.3">
      <c r="A712" s="53" t="s">
        <v>1299</v>
      </c>
      <c r="B712" s="54" t="s">
        <v>1300</v>
      </c>
      <c r="C712" s="55"/>
      <c r="D712" s="56">
        <f t="shared" ref="D712:E713" si="38">SUM(D713:D713)</f>
        <v>1397.9</v>
      </c>
      <c r="E712" s="56">
        <f t="shared" si="38"/>
        <v>1397.9</v>
      </c>
      <c r="F712" s="56"/>
      <c r="G712" s="57">
        <f t="shared" si="37"/>
        <v>1</v>
      </c>
      <c r="H712" s="55"/>
      <c r="I712" s="58"/>
      <c r="J712" s="59"/>
      <c r="K712" s="59"/>
      <c r="L712" s="60"/>
      <c r="M712" s="60"/>
      <c r="N712" s="60"/>
      <c r="O712" s="60"/>
      <c r="P712" s="210"/>
      <c r="Q712" s="211"/>
    </row>
    <row r="713" spans="1:17" ht="63.75" customHeight="1" x14ac:dyDescent="0.25">
      <c r="A713" s="280" t="s">
        <v>1301</v>
      </c>
      <c r="B713" s="282" t="s">
        <v>1302</v>
      </c>
      <c r="C713" s="61"/>
      <c r="D713" s="62">
        <f t="shared" si="38"/>
        <v>1397.9</v>
      </c>
      <c r="E713" s="62">
        <f t="shared" si="38"/>
        <v>1397.9</v>
      </c>
      <c r="F713" s="63"/>
      <c r="G713" s="79">
        <f t="shared" si="37"/>
        <v>1</v>
      </c>
      <c r="H713" s="212" t="s">
        <v>1303</v>
      </c>
      <c r="I713" s="215" t="s">
        <v>14</v>
      </c>
      <c r="J713" s="218">
        <v>100</v>
      </c>
      <c r="K713" s="243">
        <v>100</v>
      </c>
      <c r="L713" s="68" t="s">
        <v>54</v>
      </c>
      <c r="M713" s="68" t="s">
        <v>15</v>
      </c>
      <c r="N713" s="68" t="s">
        <v>54</v>
      </c>
      <c r="O713" s="68" t="s">
        <v>15</v>
      </c>
      <c r="P713" s="212" t="s">
        <v>1304</v>
      </c>
      <c r="Q713" s="227"/>
    </row>
    <row r="714" spans="1:17" ht="16.5" thickBot="1" x14ac:dyDescent="0.3">
      <c r="A714" s="281"/>
      <c r="B714" s="283"/>
      <c r="C714" s="70" t="s">
        <v>37</v>
      </c>
      <c r="D714" s="71">
        <v>1397.9</v>
      </c>
      <c r="E714" s="71">
        <v>1397.9</v>
      </c>
      <c r="F714" s="72"/>
      <c r="G714" s="125">
        <f t="shared" si="37"/>
        <v>1</v>
      </c>
      <c r="H714" s="214"/>
      <c r="I714" s="217"/>
      <c r="J714" s="220"/>
      <c r="K714" s="245"/>
      <c r="L714" s="76"/>
      <c r="M714" s="76"/>
      <c r="N714" s="76"/>
      <c r="O714" s="76"/>
      <c r="P714" s="214"/>
      <c r="Q714" s="229"/>
    </row>
    <row r="715" spans="1:17" ht="174" thickBot="1" x14ac:dyDescent="0.3">
      <c r="A715" s="45" t="s">
        <v>1305</v>
      </c>
      <c r="B715" s="46" t="s">
        <v>1306</v>
      </c>
      <c r="C715" s="47"/>
      <c r="D715" s="48">
        <f t="shared" ref="D715:F716" si="39">SUM(D716:D716)</f>
        <v>224.1</v>
      </c>
      <c r="E715" s="48">
        <f t="shared" si="39"/>
        <v>218.1</v>
      </c>
      <c r="F715" s="48">
        <f t="shared" si="39"/>
        <v>6</v>
      </c>
      <c r="G715" s="49">
        <f t="shared" si="37"/>
        <v>0.97322623828647925</v>
      </c>
      <c r="H715" s="47" t="s">
        <v>1307</v>
      </c>
      <c r="I715" s="50" t="s">
        <v>14</v>
      </c>
      <c r="J715" s="51">
        <v>20</v>
      </c>
      <c r="K715" s="51">
        <v>30</v>
      </c>
      <c r="L715" s="52" t="s">
        <v>130</v>
      </c>
      <c r="M715" s="52" t="s">
        <v>15</v>
      </c>
      <c r="N715" s="52" t="s">
        <v>171</v>
      </c>
      <c r="O715" s="52" t="s">
        <v>15</v>
      </c>
      <c r="P715" s="230"/>
      <c r="Q715" s="231"/>
    </row>
    <row r="716" spans="1:17" ht="32.25" thickBot="1" x14ac:dyDescent="0.3">
      <c r="A716" s="53" t="s">
        <v>1308</v>
      </c>
      <c r="B716" s="54" t="s">
        <v>1309</v>
      </c>
      <c r="C716" s="55"/>
      <c r="D716" s="56">
        <f t="shared" si="39"/>
        <v>224.1</v>
      </c>
      <c r="E716" s="56">
        <f t="shared" si="39"/>
        <v>218.1</v>
      </c>
      <c r="F716" s="56">
        <f t="shared" si="39"/>
        <v>6</v>
      </c>
      <c r="G716" s="57">
        <f t="shared" si="37"/>
        <v>0.97322623828647925</v>
      </c>
      <c r="H716" s="55"/>
      <c r="I716" s="58"/>
      <c r="J716" s="59"/>
      <c r="K716" s="59"/>
      <c r="L716" s="60"/>
      <c r="M716" s="60"/>
      <c r="N716" s="60"/>
      <c r="O716" s="60"/>
      <c r="P716" s="210"/>
      <c r="Q716" s="211"/>
    </row>
    <row r="717" spans="1:17" ht="63" x14ac:dyDescent="0.25">
      <c r="A717" s="280" t="s">
        <v>1310</v>
      </c>
      <c r="B717" s="282" t="s">
        <v>1311</v>
      </c>
      <c r="C717" s="61"/>
      <c r="D717" s="62">
        <f>SUM(D718:D719)</f>
        <v>224.1</v>
      </c>
      <c r="E717" s="62">
        <f>SUM(E718:E719)</f>
        <v>218.1</v>
      </c>
      <c r="F717" s="63">
        <f>SUM(F718:F719)</f>
        <v>6</v>
      </c>
      <c r="G717" s="79">
        <f t="shared" si="37"/>
        <v>0.97322623828647925</v>
      </c>
      <c r="H717" s="61" t="s">
        <v>1312</v>
      </c>
      <c r="I717" s="65" t="s">
        <v>464</v>
      </c>
      <c r="J717" s="66">
        <v>230</v>
      </c>
      <c r="K717" s="109">
        <v>267</v>
      </c>
      <c r="L717" s="68" t="s">
        <v>1313</v>
      </c>
      <c r="M717" s="68" t="s">
        <v>15</v>
      </c>
      <c r="N717" s="68" t="s">
        <v>1053</v>
      </c>
      <c r="O717" s="68" t="s">
        <v>15</v>
      </c>
      <c r="P717" s="61" t="s">
        <v>1314</v>
      </c>
      <c r="Q717" s="69" t="s">
        <v>1717</v>
      </c>
    </row>
    <row r="718" spans="1:17" ht="85.5" customHeight="1" x14ac:dyDescent="0.25">
      <c r="A718" s="284"/>
      <c r="B718" s="324"/>
      <c r="C718" s="70" t="s">
        <v>175</v>
      </c>
      <c r="D718" s="71">
        <v>147.5</v>
      </c>
      <c r="E718" s="71">
        <v>147.5</v>
      </c>
      <c r="F718" s="72"/>
      <c r="G718" s="80">
        <f t="shared" si="37"/>
        <v>1</v>
      </c>
      <c r="H718" s="246" t="s">
        <v>1315</v>
      </c>
      <c r="I718" s="247" t="s">
        <v>14</v>
      </c>
      <c r="J718" s="248">
        <v>55</v>
      </c>
      <c r="K718" s="285">
        <v>44</v>
      </c>
      <c r="L718" s="76" t="s">
        <v>301</v>
      </c>
      <c r="M718" s="76" t="s">
        <v>15</v>
      </c>
      <c r="N718" s="76" t="s">
        <v>267</v>
      </c>
      <c r="O718" s="76" t="s">
        <v>15</v>
      </c>
      <c r="P718" s="246" t="s">
        <v>1742</v>
      </c>
      <c r="Q718" s="286"/>
    </row>
    <row r="719" spans="1:17" ht="39" customHeight="1" thickBot="1" x14ac:dyDescent="0.3">
      <c r="A719" s="281"/>
      <c r="B719" s="283"/>
      <c r="C719" s="70" t="s">
        <v>27</v>
      </c>
      <c r="D719" s="71">
        <v>76.599999999999994</v>
      </c>
      <c r="E719" s="71">
        <v>70.599999999999994</v>
      </c>
      <c r="F719" s="72">
        <v>6</v>
      </c>
      <c r="G719" s="91">
        <f t="shared" si="37"/>
        <v>0.92167101827676234</v>
      </c>
      <c r="H719" s="214"/>
      <c r="I719" s="217"/>
      <c r="J719" s="220"/>
      <c r="K719" s="223"/>
      <c r="L719" s="76"/>
      <c r="M719" s="76"/>
      <c r="N719" s="76"/>
      <c r="O719" s="76"/>
      <c r="P719" s="214"/>
      <c r="Q719" s="229"/>
    </row>
    <row r="720" spans="1:17" ht="79.5" thickBot="1" x14ac:dyDescent="0.3">
      <c r="A720" s="45" t="s">
        <v>1316</v>
      </c>
      <c r="B720" s="46" t="s">
        <v>1317</v>
      </c>
      <c r="C720" s="47"/>
      <c r="D720" s="48">
        <f>D721+D726+D734</f>
        <v>1408.8999999999999</v>
      </c>
      <c r="E720" s="48">
        <f>E721+E726+E734</f>
        <v>627.1</v>
      </c>
      <c r="F720" s="48">
        <f>F721+F726+F734</f>
        <v>781.80000000000007</v>
      </c>
      <c r="G720" s="49">
        <f t="shared" si="37"/>
        <v>0.44509901341472075</v>
      </c>
      <c r="H720" s="47" t="s">
        <v>1318</v>
      </c>
      <c r="I720" s="50" t="s">
        <v>464</v>
      </c>
      <c r="J720" s="51">
        <v>50</v>
      </c>
      <c r="K720" s="51">
        <v>0</v>
      </c>
      <c r="L720" s="52" t="s">
        <v>146</v>
      </c>
      <c r="M720" s="52" t="s">
        <v>15</v>
      </c>
      <c r="N720" s="52" t="s">
        <v>146</v>
      </c>
      <c r="O720" s="52" t="s">
        <v>15</v>
      </c>
      <c r="P720" s="230"/>
      <c r="Q720" s="231"/>
    </row>
    <row r="721" spans="1:17" ht="95.25" thickBot="1" x14ac:dyDescent="0.3">
      <c r="A721" s="53" t="s">
        <v>1319</v>
      </c>
      <c r="B721" s="54" t="s">
        <v>1320</v>
      </c>
      <c r="C721" s="55"/>
      <c r="D721" s="56">
        <f>D722+D723+D725</f>
        <v>297.90000000000003</v>
      </c>
      <c r="E721" s="56">
        <f>E722+E723+E725</f>
        <v>292.49999999999994</v>
      </c>
      <c r="F721" s="56">
        <f>F722+F723+F725</f>
        <v>5.3999999999999995</v>
      </c>
      <c r="G721" s="57">
        <f t="shared" si="37"/>
        <v>0.98187311178247705</v>
      </c>
      <c r="H721" s="55"/>
      <c r="I721" s="58"/>
      <c r="J721" s="59"/>
      <c r="K721" s="59"/>
      <c r="L721" s="60"/>
      <c r="M721" s="60"/>
      <c r="N721" s="60"/>
      <c r="O721" s="60"/>
      <c r="P721" s="210"/>
      <c r="Q721" s="211"/>
    </row>
    <row r="722" spans="1:17" ht="111" thickBot="1" x14ac:dyDescent="0.3">
      <c r="A722" s="93" t="s">
        <v>1321</v>
      </c>
      <c r="B722" s="94" t="s">
        <v>1322</v>
      </c>
      <c r="C722" s="61" t="s">
        <v>27</v>
      </c>
      <c r="D722" s="95">
        <v>1.8</v>
      </c>
      <c r="E722" s="95">
        <v>1.7</v>
      </c>
      <c r="F722" s="96">
        <v>0.1</v>
      </c>
      <c r="G722" s="79">
        <f t="shared" si="37"/>
        <v>0.94444444444444442</v>
      </c>
      <c r="H722" s="61" t="s">
        <v>1323</v>
      </c>
      <c r="I722" s="65" t="s">
        <v>464</v>
      </c>
      <c r="J722" s="66">
        <v>5</v>
      </c>
      <c r="K722" s="109">
        <v>18</v>
      </c>
      <c r="L722" s="68" t="s">
        <v>58</v>
      </c>
      <c r="M722" s="68" t="s">
        <v>15</v>
      </c>
      <c r="N722" s="68" t="s">
        <v>58</v>
      </c>
      <c r="O722" s="68" t="s">
        <v>15</v>
      </c>
      <c r="P722" s="146" t="s">
        <v>1743</v>
      </c>
      <c r="Q722" s="90"/>
    </row>
    <row r="723" spans="1:17" ht="120" customHeight="1" x14ac:dyDescent="0.25">
      <c r="A723" s="280" t="s">
        <v>1324</v>
      </c>
      <c r="B723" s="282" t="s">
        <v>1325</v>
      </c>
      <c r="C723" s="61"/>
      <c r="D723" s="62">
        <f>SUM(D724:D724)</f>
        <v>287.60000000000002</v>
      </c>
      <c r="E723" s="62">
        <f>SUM(E724:E724)</f>
        <v>287.39999999999998</v>
      </c>
      <c r="F723" s="63">
        <f>SUM(F724:F724)</f>
        <v>0.2</v>
      </c>
      <c r="G723" s="79">
        <f t="shared" si="37"/>
        <v>0.99930458970792757</v>
      </c>
      <c r="H723" s="212" t="s">
        <v>1326</v>
      </c>
      <c r="I723" s="215" t="s">
        <v>14</v>
      </c>
      <c r="J723" s="218">
        <v>100</v>
      </c>
      <c r="K723" s="243">
        <v>100</v>
      </c>
      <c r="L723" s="68" t="s">
        <v>54</v>
      </c>
      <c r="M723" s="68" t="s">
        <v>15</v>
      </c>
      <c r="N723" s="68" t="s">
        <v>54</v>
      </c>
      <c r="O723" s="68" t="s">
        <v>15</v>
      </c>
      <c r="P723" s="265" t="s">
        <v>1577</v>
      </c>
      <c r="Q723" s="224"/>
    </row>
    <row r="724" spans="1:17" ht="78.75" customHeight="1" thickBot="1" x14ac:dyDescent="0.3">
      <c r="A724" s="281"/>
      <c r="B724" s="283"/>
      <c r="C724" s="70" t="s">
        <v>27</v>
      </c>
      <c r="D724" s="71">
        <v>287.60000000000002</v>
      </c>
      <c r="E724" s="71">
        <v>287.39999999999998</v>
      </c>
      <c r="F724" s="72">
        <v>0.2</v>
      </c>
      <c r="G724" s="125">
        <f t="shared" si="37"/>
        <v>0.99930458970792757</v>
      </c>
      <c r="H724" s="214"/>
      <c r="I724" s="217"/>
      <c r="J724" s="220"/>
      <c r="K724" s="245"/>
      <c r="L724" s="76"/>
      <c r="M724" s="76"/>
      <c r="N724" s="76"/>
      <c r="O724" s="76"/>
      <c r="P724" s="266"/>
      <c r="Q724" s="226"/>
    </row>
    <row r="725" spans="1:17" ht="95.25" thickBot="1" x14ac:dyDescent="0.3">
      <c r="A725" s="93" t="s">
        <v>1327</v>
      </c>
      <c r="B725" s="94" t="s">
        <v>1328</v>
      </c>
      <c r="C725" s="61" t="s">
        <v>27</v>
      </c>
      <c r="D725" s="95">
        <v>8.5</v>
      </c>
      <c r="E725" s="95">
        <v>3.4</v>
      </c>
      <c r="F725" s="96">
        <v>5.0999999999999996</v>
      </c>
      <c r="G725" s="79">
        <f t="shared" si="37"/>
        <v>0.39999999999999997</v>
      </c>
      <c r="H725" s="61" t="s">
        <v>1329</v>
      </c>
      <c r="I725" s="65" t="s">
        <v>14</v>
      </c>
      <c r="J725" s="66">
        <v>100</v>
      </c>
      <c r="K725" s="89">
        <v>100</v>
      </c>
      <c r="L725" s="68" t="s">
        <v>54</v>
      </c>
      <c r="M725" s="68" t="s">
        <v>15</v>
      </c>
      <c r="N725" s="68" t="s">
        <v>54</v>
      </c>
      <c r="O725" s="68" t="s">
        <v>15</v>
      </c>
      <c r="P725" s="61"/>
      <c r="Q725" s="69" t="s">
        <v>1654</v>
      </c>
    </row>
    <row r="726" spans="1:17" ht="63.75" thickBot="1" x14ac:dyDescent="0.3">
      <c r="A726" s="53" t="s">
        <v>1330</v>
      </c>
      <c r="B726" s="54" t="s">
        <v>1331</v>
      </c>
      <c r="C726" s="55"/>
      <c r="D726" s="56">
        <f>D727+D732+D733</f>
        <v>1077.3999999999999</v>
      </c>
      <c r="E726" s="56">
        <f>E727+E732+E733</f>
        <v>304</v>
      </c>
      <c r="F726" s="56">
        <f>F727+F732+F733</f>
        <v>773.40000000000009</v>
      </c>
      <c r="G726" s="57">
        <f t="shared" si="37"/>
        <v>0.28216075737887508</v>
      </c>
      <c r="H726" s="55"/>
      <c r="I726" s="58"/>
      <c r="J726" s="59"/>
      <c r="K726" s="59"/>
      <c r="L726" s="60"/>
      <c r="M726" s="60"/>
      <c r="N726" s="60"/>
      <c r="O726" s="60"/>
      <c r="P726" s="210"/>
      <c r="Q726" s="211"/>
    </row>
    <row r="727" spans="1:17" ht="72.75" customHeight="1" x14ac:dyDescent="0.25">
      <c r="A727" s="280" t="s">
        <v>1332</v>
      </c>
      <c r="B727" s="282" t="s">
        <v>1333</v>
      </c>
      <c r="C727" s="61"/>
      <c r="D727" s="62">
        <f>SUM(D728:D731)</f>
        <v>952.79999999999984</v>
      </c>
      <c r="E727" s="62">
        <f>SUM(E728:E731)</f>
        <v>303.8</v>
      </c>
      <c r="F727" s="63">
        <f>SUM(F728:F731)</f>
        <v>649.00000000000011</v>
      </c>
      <c r="G727" s="79">
        <f t="shared" si="37"/>
        <v>0.31884970612930319</v>
      </c>
      <c r="H727" s="212" t="s">
        <v>1334</v>
      </c>
      <c r="I727" s="215" t="s">
        <v>464</v>
      </c>
      <c r="J727" s="218">
        <v>16</v>
      </c>
      <c r="K727" s="221">
        <v>9</v>
      </c>
      <c r="L727" s="68"/>
      <c r="M727" s="68"/>
      <c r="N727" s="68"/>
      <c r="O727" s="68"/>
      <c r="P727" s="212" t="s">
        <v>1335</v>
      </c>
      <c r="Q727" s="227" t="s">
        <v>1744</v>
      </c>
    </row>
    <row r="728" spans="1:17" ht="15.75" x14ac:dyDescent="0.25">
      <c r="A728" s="284"/>
      <c r="B728" s="324"/>
      <c r="C728" s="70" t="s">
        <v>229</v>
      </c>
      <c r="D728" s="71">
        <v>795.3</v>
      </c>
      <c r="E728" s="71">
        <v>257.7</v>
      </c>
      <c r="F728" s="72">
        <v>537.6</v>
      </c>
      <c r="G728" s="80">
        <f t="shared" si="37"/>
        <v>0.32402866842700867</v>
      </c>
      <c r="H728" s="213"/>
      <c r="I728" s="216"/>
      <c r="J728" s="219"/>
      <c r="K728" s="222"/>
      <c r="L728" s="76"/>
      <c r="M728" s="76"/>
      <c r="N728" s="76"/>
      <c r="O728" s="76"/>
      <c r="P728" s="213"/>
      <c r="Q728" s="228"/>
    </row>
    <row r="729" spans="1:17" ht="15.75" x14ac:dyDescent="0.25">
      <c r="A729" s="284"/>
      <c r="B729" s="324"/>
      <c r="C729" s="70" t="s">
        <v>27</v>
      </c>
      <c r="D729" s="71">
        <v>104.3</v>
      </c>
      <c r="E729" s="71">
        <v>0.1</v>
      </c>
      <c r="F729" s="72">
        <v>104.2</v>
      </c>
      <c r="G729" s="80">
        <f t="shared" si="37"/>
        <v>9.5877277085330782E-4</v>
      </c>
      <c r="H729" s="213"/>
      <c r="I729" s="216"/>
      <c r="J729" s="219"/>
      <c r="K729" s="222"/>
      <c r="L729" s="76"/>
      <c r="M729" s="76"/>
      <c r="N729" s="76"/>
      <c r="O729" s="76"/>
      <c r="P729" s="213"/>
      <c r="Q729" s="228"/>
    </row>
    <row r="730" spans="1:17" ht="15.75" x14ac:dyDescent="0.25">
      <c r="A730" s="284"/>
      <c r="B730" s="324"/>
      <c r="C730" s="70" t="s">
        <v>37</v>
      </c>
      <c r="D730" s="71">
        <v>0.8</v>
      </c>
      <c r="E730" s="71">
        <v>0.8</v>
      </c>
      <c r="F730" s="72"/>
      <c r="G730" s="80">
        <f t="shared" si="37"/>
        <v>1</v>
      </c>
      <c r="H730" s="213"/>
      <c r="I730" s="216"/>
      <c r="J730" s="219"/>
      <c r="K730" s="222"/>
      <c r="L730" s="76"/>
      <c r="M730" s="76"/>
      <c r="N730" s="76"/>
      <c r="O730" s="76"/>
      <c r="P730" s="213"/>
      <c r="Q730" s="228"/>
    </row>
    <row r="731" spans="1:17" ht="30" customHeight="1" thickBot="1" x14ac:dyDescent="0.3">
      <c r="A731" s="281"/>
      <c r="B731" s="283"/>
      <c r="C731" s="70" t="s">
        <v>175</v>
      </c>
      <c r="D731" s="71">
        <v>52.4</v>
      </c>
      <c r="E731" s="71">
        <v>45.2</v>
      </c>
      <c r="F731" s="72">
        <v>7.2</v>
      </c>
      <c r="G731" s="91">
        <f t="shared" si="37"/>
        <v>0.86259541984732835</v>
      </c>
      <c r="H731" s="214"/>
      <c r="I731" s="217"/>
      <c r="J731" s="220"/>
      <c r="K731" s="223"/>
      <c r="L731" s="76"/>
      <c r="M731" s="76"/>
      <c r="N731" s="76"/>
      <c r="O731" s="76"/>
      <c r="P731" s="214"/>
      <c r="Q731" s="229"/>
    </row>
    <row r="732" spans="1:17" ht="63.75" thickBot="1" x14ac:dyDescent="0.3">
      <c r="A732" s="93" t="s">
        <v>1336</v>
      </c>
      <c r="B732" s="94" t="s">
        <v>1337</v>
      </c>
      <c r="C732" s="61" t="s">
        <v>160</v>
      </c>
      <c r="D732" s="95">
        <v>1</v>
      </c>
      <c r="E732" s="95">
        <v>0.2</v>
      </c>
      <c r="F732" s="96">
        <v>0.8</v>
      </c>
      <c r="G732" s="79">
        <f t="shared" si="37"/>
        <v>0.2</v>
      </c>
      <c r="H732" s="61" t="s">
        <v>637</v>
      </c>
      <c r="I732" s="65" t="s">
        <v>14</v>
      </c>
      <c r="J732" s="66">
        <v>100</v>
      </c>
      <c r="K732" s="89">
        <v>100</v>
      </c>
      <c r="L732" s="68" t="s">
        <v>54</v>
      </c>
      <c r="M732" s="68" t="s">
        <v>15</v>
      </c>
      <c r="N732" s="68"/>
      <c r="O732" s="68"/>
      <c r="P732" s="61"/>
      <c r="Q732" s="69" t="s">
        <v>1745</v>
      </c>
    </row>
    <row r="733" spans="1:17" ht="63.75" thickBot="1" x14ac:dyDescent="0.3">
      <c r="A733" s="93" t="s">
        <v>1338</v>
      </c>
      <c r="B733" s="94" t="s">
        <v>1339</v>
      </c>
      <c r="C733" s="61" t="s">
        <v>37</v>
      </c>
      <c r="D733" s="95">
        <v>123.6</v>
      </c>
      <c r="E733" s="95"/>
      <c r="F733" s="96">
        <v>123.6</v>
      </c>
      <c r="G733" s="79">
        <f t="shared" si="37"/>
        <v>0</v>
      </c>
      <c r="H733" s="61" t="s">
        <v>1334</v>
      </c>
      <c r="I733" s="65" t="s">
        <v>464</v>
      </c>
      <c r="J733" s="66">
        <v>0</v>
      </c>
      <c r="K733" s="67">
        <v>0</v>
      </c>
      <c r="L733" s="68" t="s">
        <v>15</v>
      </c>
      <c r="M733" s="68" t="s">
        <v>15</v>
      </c>
      <c r="N733" s="68" t="s">
        <v>58</v>
      </c>
      <c r="O733" s="68" t="s">
        <v>15</v>
      </c>
      <c r="P733" s="61"/>
      <c r="Q733" s="69" t="s">
        <v>1746</v>
      </c>
    </row>
    <row r="734" spans="1:17" ht="32.25" thickBot="1" x14ac:dyDescent="0.3">
      <c r="A734" s="53" t="s">
        <v>1340</v>
      </c>
      <c r="B734" s="54" t="s">
        <v>1341</v>
      </c>
      <c r="C734" s="55"/>
      <c r="D734" s="56">
        <f t="shared" ref="D734:F735" si="40">SUM(D735:D735)</f>
        <v>33.6</v>
      </c>
      <c r="E734" s="56">
        <f t="shared" si="40"/>
        <v>30.6</v>
      </c>
      <c r="F734" s="56">
        <f t="shared" si="40"/>
        <v>3</v>
      </c>
      <c r="G734" s="57">
        <f t="shared" si="37"/>
        <v>0.9107142857142857</v>
      </c>
      <c r="H734" s="55"/>
      <c r="I734" s="58"/>
      <c r="J734" s="59"/>
      <c r="K734" s="59"/>
      <c r="L734" s="60"/>
      <c r="M734" s="60"/>
      <c r="N734" s="60"/>
      <c r="O734" s="60"/>
      <c r="P734" s="210"/>
      <c r="Q734" s="211"/>
    </row>
    <row r="735" spans="1:17" ht="56.25" customHeight="1" x14ac:dyDescent="0.25">
      <c r="A735" s="280" t="s">
        <v>1342</v>
      </c>
      <c r="B735" s="282" t="s">
        <v>1343</v>
      </c>
      <c r="C735" s="61"/>
      <c r="D735" s="62">
        <f t="shared" si="40"/>
        <v>33.6</v>
      </c>
      <c r="E735" s="62">
        <f t="shared" si="40"/>
        <v>30.6</v>
      </c>
      <c r="F735" s="63">
        <f t="shared" si="40"/>
        <v>3</v>
      </c>
      <c r="G735" s="79">
        <f t="shared" si="37"/>
        <v>0.9107142857142857</v>
      </c>
      <c r="H735" s="212" t="s">
        <v>637</v>
      </c>
      <c r="I735" s="215" t="s">
        <v>14</v>
      </c>
      <c r="J735" s="218">
        <v>100</v>
      </c>
      <c r="K735" s="243">
        <v>100</v>
      </c>
      <c r="L735" s="68" t="s">
        <v>54</v>
      </c>
      <c r="M735" s="68" t="s">
        <v>15</v>
      </c>
      <c r="N735" s="68" t="s">
        <v>54</v>
      </c>
      <c r="O735" s="68" t="s">
        <v>15</v>
      </c>
      <c r="P735" s="265" t="s">
        <v>1747</v>
      </c>
      <c r="Q735" s="227" t="s">
        <v>1748</v>
      </c>
    </row>
    <row r="736" spans="1:17" ht="30" customHeight="1" thickBot="1" x14ac:dyDescent="0.3">
      <c r="A736" s="281"/>
      <c r="B736" s="283"/>
      <c r="C736" s="70" t="s">
        <v>1071</v>
      </c>
      <c r="D736" s="71">
        <v>33.6</v>
      </c>
      <c r="E736" s="71">
        <v>30.6</v>
      </c>
      <c r="F736" s="72">
        <v>3</v>
      </c>
      <c r="G736" s="125">
        <f t="shared" si="37"/>
        <v>0.9107142857142857</v>
      </c>
      <c r="H736" s="214"/>
      <c r="I736" s="217"/>
      <c r="J736" s="220"/>
      <c r="K736" s="245"/>
      <c r="L736" s="76"/>
      <c r="M736" s="76"/>
      <c r="N736" s="76"/>
      <c r="O736" s="76"/>
      <c r="P736" s="266"/>
      <c r="Q736" s="229"/>
    </row>
    <row r="737" spans="1:21" ht="63.75" thickBot="1" x14ac:dyDescent="0.3">
      <c r="A737" s="45" t="s">
        <v>1344</v>
      </c>
      <c r="B737" s="46" t="s">
        <v>1345</v>
      </c>
      <c r="C737" s="47"/>
      <c r="D737" s="48">
        <f>SUM(D738:D738)</f>
        <v>214</v>
      </c>
      <c r="E737" s="48">
        <f>SUM(E738:E738)</f>
        <v>177.3</v>
      </c>
      <c r="F737" s="48">
        <f>SUM(F738:F738)</f>
        <v>36.700000000000003</v>
      </c>
      <c r="G737" s="49">
        <f t="shared" si="37"/>
        <v>0.82850467289719631</v>
      </c>
      <c r="H737" s="47" t="s">
        <v>1346</v>
      </c>
      <c r="I737" s="50" t="s">
        <v>464</v>
      </c>
      <c r="J737" s="178">
        <v>1000</v>
      </c>
      <c r="K737" s="178">
        <v>903</v>
      </c>
      <c r="L737" s="52" t="s">
        <v>1130</v>
      </c>
      <c r="M737" s="52" t="s">
        <v>15</v>
      </c>
      <c r="N737" s="52" t="s">
        <v>1130</v>
      </c>
      <c r="O737" s="52" t="s">
        <v>15</v>
      </c>
      <c r="P737" s="230"/>
      <c r="Q737" s="231"/>
    </row>
    <row r="738" spans="1:21" ht="32.25" thickBot="1" x14ac:dyDescent="0.3">
      <c r="A738" s="53" t="s">
        <v>1347</v>
      </c>
      <c r="B738" s="54" t="s">
        <v>1348</v>
      </c>
      <c r="C738" s="55"/>
      <c r="D738" s="56">
        <f>D739+D741</f>
        <v>214</v>
      </c>
      <c r="E738" s="56">
        <f>E739+E741</f>
        <v>177.3</v>
      </c>
      <c r="F738" s="56">
        <f>F739+F741</f>
        <v>36.700000000000003</v>
      </c>
      <c r="G738" s="57">
        <f t="shared" si="37"/>
        <v>0.82850467289719631</v>
      </c>
      <c r="H738" s="55"/>
      <c r="I738" s="58"/>
      <c r="J738" s="59"/>
      <c r="K738" s="59"/>
      <c r="L738" s="60"/>
      <c r="M738" s="60"/>
      <c r="N738" s="60"/>
      <c r="O738" s="60"/>
      <c r="P738" s="210"/>
      <c r="Q738" s="211"/>
    </row>
    <row r="739" spans="1:21" ht="63" x14ac:dyDescent="0.25">
      <c r="A739" s="280" t="s">
        <v>1349</v>
      </c>
      <c r="B739" s="282" t="s">
        <v>1350</v>
      </c>
      <c r="C739" s="61" t="s">
        <v>27</v>
      </c>
      <c r="D739" s="62">
        <f>SUM(D740:D740)+200</f>
        <v>200</v>
      </c>
      <c r="E739" s="62">
        <f>SUM(E740:E740)+165.8</f>
        <v>165.8</v>
      </c>
      <c r="F739" s="63">
        <f>SUM(F740:F740)+34.2</f>
        <v>34.200000000000003</v>
      </c>
      <c r="G739" s="79">
        <f t="shared" si="37"/>
        <v>0.82900000000000007</v>
      </c>
      <c r="H739" s="61" t="s">
        <v>1351</v>
      </c>
      <c r="I739" s="65" t="s">
        <v>464</v>
      </c>
      <c r="J739" s="121">
        <v>1000</v>
      </c>
      <c r="K739" s="145">
        <v>880</v>
      </c>
      <c r="L739" s="68" t="s">
        <v>1130</v>
      </c>
      <c r="M739" s="68" t="s">
        <v>15</v>
      </c>
      <c r="N739" s="68" t="s">
        <v>1130</v>
      </c>
      <c r="O739" s="68" t="s">
        <v>15</v>
      </c>
      <c r="P739" s="61" t="s">
        <v>1352</v>
      </c>
      <c r="Q739" s="69" t="s">
        <v>1717</v>
      </c>
    </row>
    <row r="740" spans="1:21" ht="85.5" customHeight="1" thickBot="1" x14ac:dyDescent="0.3">
      <c r="A740" s="281"/>
      <c r="B740" s="283"/>
      <c r="C740" s="70"/>
      <c r="D740" s="71"/>
      <c r="E740" s="71"/>
      <c r="F740" s="72"/>
      <c r="G740" s="72"/>
      <c r="H740" s="70" t="s">
        <v>1353</v>
      </c>
      <c r="I740" s="73" t="s">
        <v>14</v>
      </c>
      <c r="J740" s="74">
        <v>100</v>
      </c>
      <c r="K740" s="81">
        <v>100</v>
      </c>
      <c r="L740" s="76" t="s">
        <v>54</v>
      </c>
      <c r="M740" s="76" t="s">
        <v>15</v>
      </c>
      <c r="N740" s="76" t="s">
        <v>54</v>
      </c>
      <c r="O740" s="76" t="s">
        <v>15</v>
      </c>
      <c r="P740" s="70"/>
      <c r="Q740" s="77"/>
    </row>
    <row r="741" spans="1:21" ht="63.75" thickBot="1" x14ac:dyDescent="0.3">
      <c r="A741" s="93" t="s">
        <v>1354</v>
      </c>
      <c r="B741" s="94" t="s">
        <v>1355</v>
      </c>
      <c r="C741" s="61" t="s">
        <v>27</v>
      </c>
      <c r="D741" s="95">
        <v>14</v>
      </c>
      <c r="E741" s="95">
        <v>11.5</v>
      </c>
      <c r="F741" s="96">
        <v>2.5</v>
      </c>
      <c r="G741" s="79">
        <f>SUM(E741/D741)</f>
        <v>0.8214285714285714</v>
      </c>
      <c r="H741" s="61" t="s">
        <v>1356</v>
      </c>
      <c r="I741" s="65" t="s">
        <v>464</v>
      </c>
      <c r="J741" s="66">
        <v>28</v>
      </c>
      <c r="K741" s="145">
        <v>23</v>
      </c>
      <c r="L741" s="68" t="s">
        <v>897</v>
      </c>
      <c r="M741" s="68" t="s">
        <v>15</v>
      </c>
      <c r="N741" s="68" t="s">
        <v>897</v>
      </c>
      <c r="O741" s="68" t="s">
        <v>15</v>
      </c>
      <c r="P741" s="146" t="s">
        <v>1749</v>
      </c>
      <c r="Q741" s="69" t="s">
        <v>1750</v>
      </c>
    </row>
    <row r="742" spans="1:21" ht="32.25" thickBot="1" x14ac:dyDescent="0.3">
      <c r="A742" s="37" t="s">
        <v>1357</v>
      </c>
      <c r="B742" s="38" t="s">
        <v>1358</v>
      </c>
      <c r="C742" s="39"/>
      <c r="D742" s="40">
        <f>D743+D795+D812</f>
        <v>20725.700000000004</v>
      </c>
      <c r="E742" s="40">
        <f>E743+E795+E812-0.1</f>
        <v>19862.099999999999</v>
      </c>
      <c r="F742" s="40">
        <f>F743+F795+F812</f>
        <v>863.6</v>
      </c>
      <c r="G742" s="41">
        <f>SUM(E742/D742)</f>
        <v>0.95833192606281059</v>
      </c>
      <c r="H742" s="39"/>
      <c r="I742" s="42"/>
      <c r="J742" s="43"/>
      <c r="K742" s="43"/>
      <c r="L742" s="44"/>
      <c r="M742" s="44"/>
      <c r="N742" s="44"/>
      <c r="O742" s="44"/>
      <c r="P742" s="267"/>
      <c r="Q742" s="268"/>
    </row>
    <row r="743" spans="1:21" ht="90.75" customHeight="1" x14ac:dyDescent="0.25">
      <c r="A743" s="254" t="s">
        <v>1359</v>
      </c>
      <c r="B743" s="256" t="s">
        <v>1360</v>
      </c>
      <c r="C743" s="258"/>
      <c r="D743" s="260">
        <f>D744+D745+D746+D761+D784+D793</f>
        <v>8383.7000000000007</v>
      </c>
      <c r="E743" s="260">
        <f>E744+E745+E746+E761+E784+E793</f>
        <v>7831.4</v>
      </c>
      <c r="F743" s="260">
        <f>F744+F745+F746+F761+F784+F793</f>
        <v>552.29999999999995</v>
      </c>
      <c r="G743" s="273">
        <f>SUM(E743/D743)</f>
        <v>0.93412216563092654</v>
      </c>
      <c r="H743" s="47" t="s">
        <v>1361</v>
      </c>
      <c r="I743" s="50" t="s">
        <v>14</v>
      </c>
      <c r="J743" s="51">
        <v>60</v>
      </c>
      <c r="K743" s="51">
        <v>100</v>
      </c>
      <c r="L743" s="52" t="s">
        <v>20</v>
      </c>
      <c r="M743" s="52" t="s">
        <v>15</v>
      </c>
      <c r="N743" s="52" t="s">
        <v>20</v>
      </c>
      <c r="O743" s="52" t="s">
        <v>15</v>
      </c>
      <c r="P743" s="252"/>
      <c r="Q743" s="277" t="s">
        <v>1362</v>
      </c>
      <c r="S743" s="3"/>
      <c r="T743" s="10" t="s">
        <v>1</v>
      </c>
      <c r="U743" s="10" t="s">
        <v>1551</v>
      </c>
    </row>
    <row r="744" spans="1:21" ht="63" x14ac:dyDescent="0.25">
      <c r="A744" s="269"/>
      <c r="B744" s="270"/>
      <c r="C744" s="271"/>
      <c r="D744" s="272"/>
      <c r="E744" s="272"/>
      <c r="F744" s="272"/>
      <c r="G744" s="274"/>
      <c r="H744" s="105" t="s">
        <v>1363</v>
      </c>
      <c r="I744" s="107" t="s">
        <v>19</v>
      </c>
      <c r="J744" s="108">
        <v>283</v>
      </c>
      <c r="K744" s="108">
        <v>283</v>
      </c>
      <c r="L744" s="144" t="s">
        <v>1364</v>
      </c>
      <c r="M744" s="144" t="s">
        <v>15</v>
      </c>
      <c r="N744" s="144" t="s">
        <v>1364</v>
      </c>
      <c r="O744" s="144" t="s">
        <v>15</v>
      </c>
      <c r="P744" s="276"/>
      <c r="Q744" s="278"/>
      <c r="S744" s="7"/>
      <c r="T744" s="14" t="s">
        <v>1552</v>
      </c>
      <c r="U744" s="11">
        <v>30</v>
      </c>
    </row>
    <row r="745" spans="1:21" ht="63.75" thickBot="1" x14ac:dyDescent="0.3">
      <c r="A745" s="255"/>
      <c r="B745" s="257"/>
      <c r="C745" s="259"/>
      <c r="D745" s="261"/>
      <c r="E745" s="261"/>
      <c r="F745" s="261"/>
      <c r="G745" s="275"/>
      <c r="H745" s="105" t="s">
        <v>1365</v>
      </c>
      <c r="I745" s="107" t="s">
        <v>19</v>
      </c>
      <c r="J745" s="151">
        <v>10000</v>
      </c>
      <c r="K745" s="151">
        <v>22816</v>
      </c>
      <c r="L745" s="144" t="s">
        <v>1366</v>
      </c>
      <c r="M745" s="144" t="s">
        <v>15</v>
      </c>
      <c r="N745" s="144" t="s">
        <v>1366</v>
      </c>
      <c r="O745" s="144" t="s">
        <v>15</v>
      </c>
      <c r="P745" s="253"/>
      <c r="Q745" s="279"/>
      <c r="S745" s="4"/>
      <c r="T745" s="14" t="s">
        <v>1556</v>
      </c>
      <c r="U745" s="11">
        <v>1</v>
      </c>
    </row>
    <row r="746" spans="1:21" ht="48" thickBot="1" x14ac:dyDescent="0.3">
      <c r="A746" s="53" t="s">
        <v>1367</v>
      </c>
      <c r="B746" s="54" t="s">
        <v>1368</v>
      </c>
      <c r="C746" s="55"/>
      <c r="D746" s="56">
        <f>D747+D758+D760</f>
        <v>7285.5000000000009</v>
      </c>
      <c r="E746" s="56">
        <f>E747+E758+E760-0.1</f>
        <v>6919.4</v>
      </c>
      <c r="F746" s="56">
        <f>F747+F758+F760</f>
        <v>366</v>
      </c>
      <c r="G746" s="57">
        <f t="shared" ref="G746:G751" si="41">SUM(E746/D746)</f>
        <v>0.94974950243634604</v>
      </c>
      <c r="H746" s="55"/>
      <c r="I746" s="58"/>
      <c r="J746" s="59"/>
      <c r="K746" s="59"/>
      <c r="L746" s="60"/>
      <c r="M746" s="60"/>
      <c r="N746" s="60"/>
      <c r="O746" s="60"/>
      <c r="P746" s="210"/>
      <c r="Q746" s="211"/>
      <c r="S746" s="6"/>
      <c r="T746" s="14" t="s">
        <v>1557</v>
      </c>
      <c r="U746" s="11">
        <v>6</v>
      </c>
    </row>
    <row r="747" spans="1:21" ht="78.75" x14ac:dyDescent="0.25">
      <c r="A747" s="280" t="s">
        <v>1369</v>
      </c>
      <c r="B747" s="282" t="s">
        <v>1370</v>
      </c>
      <c r="C747" s="61"/>
      <c r="D747" s="62">
        <f>SUM(D748:D757)</f>
        <v>6440.6</v>
      </c>
      <c r="E747" s="62">
        <f>SUM(E748:E757)+0.1</f>
        <v>6102.4000000000005</v>
      </c>
      <c r="F747" s="63">
        <f>SUM(F748:F757)-0.1</f>
        <v>338.2</v>
      </c>
      <c r="G747" s="79">
        <f t="shared" si="41"/>
        <v>0.9474893643449368</v>
      </c>
      <c r="H747" s="61" t="s">
        <v>1371</v>
      </c>
      <c r="I747" s="65" t="s">
        <v>464</v>
      </c>
      <c r="J747" s="66">
        <v>177</v>
      </c>
      <c r="K747" s="109">
        <v>178</v>
      </c>
      <c r="L747" s="68" t="s">
        <v>1197</v>
      </c>
      <c r="M747" s="68" t="s">
        <v>15</v>
      </c>
      <c r="N747" s="68" t="s">
        <v>1197</v>
      </c>
      <c r="O747" s="68" t="s">
        <v>15</v>
      </c>
      <c r="P747" s="146" t="s">
        <v>1786</v>
      </c>
      <c r="Q747" s="90"/>
      <c r="S747" s="9"/>
      <c r="T747" s="14" t="s">
        <v>1555</v>
      </c>
      <c r="U747" s="19">
        <v>1</v>
      </c>
    </row>
    <row r="748" spans="1:21" ht="141.75" x14ac:dyDescent="0.25">
      <c r="A748" s="284"/>
      <c r="B748" s="324"/>
      <c r="C748" s="70" t="s">
        <v>175</v>
      </c>
      <c r="D748" s="71">
        <v>42</v>
      </c>
      <c r="E748" s="71">
        <v>42</v>
      </c>
      <c r="F748" s="72"/>
      <c r="G748" s="80">
        <f t="shared" si="41"/>
        <v>1</v>
      </c>
      <c r="H748" s="70" t="s">
        <v>1372</v>
      </c>
      <c r="I748" s="73" t="s">
        <v>464</v>
      </c>
      <c r="J748" s="74">
        <v>88</v>
      </c>
      <c r="K748" s="110">
        <v>87</v>
      </c>
      <c r="L748" s="76" t="s">
        <v>1373</v>
      </c>
      <c r="M748" s="76" t="s">
        <v>15</v>
      </c>
      <c r="N748" s="76" t="s">
        <v>1373</v>
      </c>
      <c r="O748" s="76" t="s">
        <v>15</v>
      </c>
      <c r="P748" s="83" t="s">
        <v>1785</v>
      </c>
      <c r="Q748" s="84"/>
      <c r="S748" s="8"/>
      <c r="T748" s="14" t="s">
        <v>1553</v>
      </c>
      <c r="U748" s="13"/>
    </row>
    <row r="749" spans="1:21" ht="94.5" x14ac:dyDescent="0.25">
      <c r="A749" s="284"/>
      <c r="B749" s="324"/>
      <c r="C749" s="70" t="s">
        <v>37</v>
      </c>
      <c r="D749" s="71">
        <v>21.1</v>
      </c>
      <c r="E749" s="71">
        <v>21.1</v>
      </c>
      <c r="F749" s="72"/>
      <c r="G749" s="80">
        <f t="shared" si="41"/>
        <v>1</v>
      </c>
      <c r="H749" s="70" t="s">
        <v>1374</v>
      </c>
      <c r="I749" s="73" t="s">
        <v>14</v>
      </c>
      <c r="J749" s="74">
        <v>100</v>
      </c>
      <c r="K749" s="81">
        <v>100</v>
      </c>
      <c r="L749" s="76" t="s">
        <v>54</v>
      </c>
      <c r="M749" s="76" t="s">
        <v>15</v>
      </c>
      <c r="N749" s="76" t="s">
        <v>54</v>
      </c>
      <c r="O749" s="76" t="s">
        <v>15</v>
      </c>
      <c r="P749" s="83" t="s">
        <v>1578</v>
      </c>
      <c r="Q749" s="84"/>
      <c r="S749" s="16"/>
      <c r="T749" s="17" t="s">
        <v>1554</v>
      </c>
      <c r="U749" s="13">
        <v>38</v>
      </c>
    </row>
    <row r="750" spans="1:21" ht="247.5" customHeight="1" x14ac:dyDescent="0.25">
      <c r="A750" s="284"/>
      <c r="B750" s="324"/>
      <c r="C750" s="70" t="s">
        <v>27</v>
      </c>
      <c r="D750" s="71">
        <v>6375.5</v>
      </c>
      <c r="E750" s="71">
        <v>6038</v>
      </c>
      <c r="F750" s="72">
        <v>337.5</v>
      </c>
      <c r="G750" s="80">
        <f t="shared" si="41"/>
        <v>0.94706297545290563</v>
      </c>
      <c r="H750" s="70" t="s">
        <v>1375</v>
      </c>
      <c r="I750" s="73" t="s">
        <v>464</v>
      </c>
      <c r="J750" s="74">
        <v>260</v>
      </c>
      <c r="K750" s="111">
        <v>643</v>
      </c>
      <c r="L750" s="76" t="s">
        <v>1376</v>
      </c>
      <c r="M750" s="76" t="s">
        <v>15</v>
      </c>
      <c r="N750" s="76" t="s">
        <v>1376</v>
      </c>
      <c r="O750" s="76" t="s">
        <v>15</v>
      </c>
      <c r="P750" s="70" t="s">
        <v>1869</v>
      </c>
      <c r="Q750" s="84"/>
    </row>
    <row r="751" spans="1:21" ht="94.5" x14ac:dyDescent="0.25">
      <c r="A751" s="284"/>
      <c r="B751" s="324"/>
      <c r="C751" s="70" t="s">
        <v>169</v>
      </c>
      <c r="D751" s="71">
        <v>2</v>
      </c>
      <c r="E751" s="71">
        <v>1.2</v>
      </c>
      <c r="F751" s="72">
        <v>0.8</v>
      </c>
      <c r="G751" s="91">
        <f t="shared" si="41"/>
        <v>0.6</v>
      </c>
      <c r="H751" s="70" t="s">
        <v>1377</v>
      </c>
      <c r="I751" s="73" t="s">
        <v>19</v>
      </c>
      <c r="J751" s="74">
        <v>30</v>
      </c>
      <c r="K751" s="111">
        <v>31</v>
      </c>
      <c r="L751" s="76" t="s">
        <v>171</v>
      </c>
      <c r="M751" s="76" t="s">
        <v>15</v>
      </c>
      <c r="N751" s="76" t="s">
        <v>171</v>
      </c>
      <c r="O751" s="76" t="s">
        <v>15</v>
      </c>
      <c r="P751" s="83" t="s">
        <v>1579</v>
      </c>
      <c r="Q751" s="84"/>
    </row>
    <row r="752" spans="1:21" ht="94.5" x14ac:dyDescent="0.25">
      <c r="A752" s="284"/>
      <c r="B752" s="324"/>
      <c r="C752" s="70"/>
      <c r="D752" s="71"/>
      <c r="E752" s="71"/>
      <c r="F752" s="72"/>
      <c r="G752" s="72"/>
      <c r="H752" s="70" t="s">
        <v>1379</v>
      </c>
      <c r="I752" s="73" t="s">
        <v>19</v>
      </c>
      <c r="J752" s="74">
        <v>5</v>
      </c>
      <c r="K752" s="111">
        <v>34</v>
      </c>
      <c r="L752" s="76" t="s">
        <v>59</v>
      </c>
      <c r="M752" s="76" t="s">
        <v>15</v>
      </c>
      <c r="N752" s="76" t="s">
        <v>59</v>
      </c>
      <c r="O752" s="76" t="s">
        <v>15</v>
      </c>
      <c r="P752" s="83" t="s">
        <v>1580</v>
      </c>
      <c r="Q752" s="84"/>
    </row>
    <row r="753" spans="1:17" ht="63" x14ac:dyDescent="0.25">
      <c r="A753" s="284"/>
      <c r="B753" s="324"/>
      <c r="C753" s="70"/>
      <c r="D753" s="71"/>
      <c r="E753" s="71"/>
      <c r="F753" s="72"/>
      <c r="G753" s="72"/>
      <c r="H753" s="70" t="s">
        <v>1380</v>
      </c>
      <c r="I753" s="73" t="s">
        <v>19</v>
      </c>
      <c r="J753" s="74">
        <v>5</v>
      </c>
      <c r="K753" s="111">
        <v>18</v>
      </c>
      <c r="L753" s="76" t="s">
        <v>58</v>
      </c>
      <c r="M753" s="76" t="s">
        <v>15</v>
      </c>
      <c r="N753" s="76" t="s">
        <v>59</v>
      </c>
      <c r="O753" s="76" t="s">
        <v>15</v>
      </c>
      <c r="P753" s="83" t="s">
        <v>1751</v>
      </c>
      <c r="Q753" s="84"/>
    </row>
    <row r="754" spans="1:17" ht="63" x14ac:dyDescent="0.25">
      <c r="A754" s="284"/>
      <c r="B754" s="324"/>
      <c r="C754" s="70"/>
      <c r="D754" s="71"/>
      <c r="E754" s="71"/>
      <c r="F754" s="72"/>
      <c r="G754" s="72"/>
      <c r="H754" s="70" t="s">
        <v>1381</v>
      </c>
      <c r="I754" s="73" t="s">
        <v>19</v>
      </c>
      <c r="J754" s="74">
        <v>1</v>
      </c>
      <c r="K754" s="81">
        <v>1</v>
      </c>
      <c r="L754" s="76" t="s">
        <v>29</v>
      </c>
      <c r="M754" s="76" t="s">
        <v>15</v>
      </c>
      <c r="N754" s="76" t="s">
        <v>29</v>
      </c>
      <c r="O754" s="76" t="s">
        <v>15</v>
      </c>
      <c r="P754" s="83" t="s">
        <v>1752</v>
      </c>
      <c r="Q754" s="84"/>
    </row>
    <row r="755" spans="1:17" ht="78.75" x14ac:dyDescent="0.25">
      <c r="A755" s="284"/>
      <c r="B755" s="324"/>
      <c r="C755" s="70"/>
      <c r="D755" s="71"/>
      <c r="E755" s="71"/>
      <c r="F755" s="72"/>
      <c r="G755" s="72"/>
      <c r="H755" s="70" t="s">
        <v>1382</v>
      </c>
      <c r="I755" s="73" t="s">
        <v>19</v>
      </c>
      <c r="J755" s="74">
        <v>300</v>
      </c>
      <c r="K755" s="111">
        <v>349</v>
      </c>
      <c r="L755" s="76" t="s">
        <v>869</v>
      </c>
      <c r="M755" s="76" t="s">
        <v>15</v>
      </c>
      <c r="N755" s="76" t="s">
        <v>869</v>
      </c>
      <c r="O755" s="76" t="s">
        <v>15</v>
      </c>
      <c r="P755" s="83" t="s">
        <v>1581</v>
      </c>
      <c r="Q755" s="84"/>
    </row>
    <row r="756" spans="1:17" ht="110.25" x14ac:dyDescent="0.25">
      <c r="A756" s="284"/>
      <c r="B756" s="324"/>
      <c r="C756" s="70"/>
      <c r="D756" s="71"/>
      <c r="E756" s="71"/>
      <c r="F756" s="72"/>
      <c r="G756" s="72"/>
      <c r="H756" s="70" t="s">
        <v>1383</v>
      </c>
      <c r="I756" s="73" t="s">
        <v>464</v>
      </c>
      <c r="J756" s="114">
        <v>12000</v>
      </c>
      <c r="K756" s="177">
        <v>15149</v>
      </c>
      <c r="L756" s="76" t="s">
        <v>1384</v>
      </c>
      <c r="M756" s="76" t="s">
        <v>15</v>
      </c>
      <c r="N756" s="76" t="s">
        <v>1385</v>
      </c>
      <c r="O756" s="76" t="s">
        <v>15</v>
      </c>
      <c r="P756" s="83" t="s">
        <v>1754</v>
      </c>
      <c r="Q756" s="84"/>
    </row>
    <row r="757" spans="1:17" ht="111" thickBot="1" x14ac:dyDescent="0.3">
      <c r="A757" s="281"/>
      <c r="B757" s="283"/>
      <c r="C757" s="70"/>
      <c r="D757" s="71"/>
      <c r="E757" s="71"/>
      <c r="F757" s="72"/>
      <c r="G757" s="72"/>
      <c r="H757" s="70" t="s">
        <v>1386</v>
      </c>
      <c r="I757" s="73" t="s">
        <v>464</v>
      </c>
      <c r="J757" s="114">
        <v>1800</v>
      </c>
      <c r="K757" s="117">
        <v>1388</v>
      </c>
      <c r="L757" s="76" t="s">
        <v>677</v>
      </c>
      <c r="M757" s="76" t="s">
        <v>15</v>
      </c>
      <c r="N757" s="76" t="s">
        <v>1387</v>
      </c>
      <c r="O757" s="76" t="s">
        <v>15</v>
      </c>
      <c r="P757" s="83" t="s">
        <v>1753</v>
      </c>
      <c r="Q757" s="84"/>
    </row>
    <row r="758" spans="1:17" ht="63" x14ac:dyDescent="0.25">
      <c r="A758" s="280" t="s">
        <v>1388</v>
      </c>
      <c r="B758" s="282" t="s">
        <v>1389</v>
      </c>
      <c r="C758" s="61" t="s">
        <v>27</v>
      </c>
      <c r="D758" s="62">
        <f>SUM(D759:D759)+561.6</f>
        <v>561.6</v>
      </c>
      <c r="E758" s="62">
        <f>SUM(E759:E759)+537.9</f>
        <v>537.9</v>
      </c>
      <c r="F758" s="63">
        <f>SUM(F759:F759)+23.7</f>
        <v>23.7</v>
      </c>
      <c r="G758" s="79">
        <f>SUM(E758/D758)</f>
        <v>0.95779914529914523</v>
      </c>
      <c r="H758" s="61" t="s">
        <v>1390</v>
      </c>
      <c r="I758" s="65" t="s">
        <v>464</v>
      </c>
      <c r="J758" s="66">
        <v>31</v>
      </c>
      <c r="K758" s="89">
        <v>31</v>
      </c>
      <c r="L758" s="68" t="s">
        <v>1378</v>
      </c>
      <c r="M758" s="68" t="s">
        <v>15</v>
      </c>
      <c r="N758" s="68" t="s">
        <v>1378</v>
      </c>
      <c r="O758" s="68" t="s">
        <v>15</v>
      </c>
      <c r="P758" s="146" t="s">
        <v>1756</v>
      </c>
      <c r="Q758" s="90"/>
    </row>
    <row r="759" spans="1:17" ht="63.75" thickBot="1" x14ac:dyDescent="0.3">
      <c r="A759" s="281"/>
      <c r="B759" s="283"/>
      <c r="C759" s="70"/>
      <c r="D759" s="71"/>
      <c r="E759" s="71"/>
      <c r="F759" s="72"/>
      <c r="G759" s="72"/>
      <c r="H759" s="70" t="s">
        <v>1391</v>
      </c>
      <c r="I759" s="73" t="s">
        <v>464</v>
      </c>
      <c r="J759" s="74">
        <v>8</v>
      </c>
      <c r="K759" s="81">
        <v>8</v>
      </c>
      <c r="L759" s="76" t="s">
        <v>110</v>
      </c>
      <c r="M759" s="76" t="s">
        <v>15</v>
      </c>
      <c r="N759" s="76" t="s">
        <v>110</v>
      </c>
      <c r="O759" s="76" t="s">
        <v>15</v>
      </c>
      <c r="P759" s="83" t="s">
        <v>1582</v>
      </c>
      <c r="Q759" s="84"/>
    </row>
    <row r="760" spans="1:17" ht="79.5" thickBot="1" x14ac:dyDescent="0.3">
      <c r="A760" s="93" t="s">
        <v>1392</v>
      </c>
      <c r="B760" s="94" t="s">
        <v>1393</v>
      </c>
      <c r="C760" s="61" t="s">
        <v>27</v>
      </c>
      <c r="D760" s="95">
        <v>283.3</v>
      </c>
      <c r="E760" s="95">
        <v>279.2</v>
      </c>
      <c r="F760" s="96">
        <v>4.0999999999999996</v>
      </c>
      <c r="G760" s="79">
        <f t="shared" ref="G760:G774" si="42">SUM(E760/D760)</f>
        <v>0.98552770914225196</v>
      </c>
      <c r="H760" s="61" t="s">
        <v>1278</v>
      </c>
      <c r="I760" s="65" t="s">
        <v>464</v>
      </c>
      <c r="J760" s="66">
        <v>10</v>
      </c>
      <c r="K760" s="89">
        <v>10</v>
      </c>
      <c r="L760" s="68" t="s">
        <v>114</v>
      </c>
      <c r="M760" s="68" t="s">
        <v>15</v>
      </c>
      <c r="N760" s="68" t="s">
        <v>114</v>
      </c>
      <c r="O760" s="68" t="s">
        <v>15</v>
      </c>
      <c r="P760" s="146" t="s">
        <v>1755</v>
      </c>
      <c r="Q760" s="90"/>
    </row>
    <row r="761" spans="1:17" ht="79.5" thickBot="1" x14ac:dyDescent="0.3">
      <c r="A761" s="53" t="s">
        <v>1394</v>
      </c>
      <c r="B761" s="54" t="s">
        <v>1395</v>
      </c>
      <c r="C761" s="55"/>
      <c r="D761" s="56">
        <f>D762+D763+D764+D765+D766+D767+D768+D769+D770+D771+D772+D773+D774+D775+D776+D777+D778+D780+D782+D783</f>
        <v>520.19999999999993</v>
      </c>
      <c r="E761" s="56">
        <f>E762+E763+E764+E765+E766+E767+E768+E769+E770+E771+E772+E773+E774+E775+E776+E777+E778+E780+E782+E783+0.1</f>
        <v>512.19999999999993</v>
      </c>
      <c r="F761" s="56">
        <f>F762+F763+F764+F765+F766+F767+F768+F769+F770+F771+F772+F773+F774+F775+F776+F777+F778+F780+F782+F783-0.1</f>
        <v>8</v>
      </c>
      <c r="G761" s="57">
        <f t="shared" si="42"/>
        <v>0.98462129950019228</v>
      </c>
      <c r="H761" s="55"/>
      <c r="I761" s="58"/>
      <c r="J761" s="59"/>
      <c r="K761" s="59"/>
      <c r="L761" s="60"/>
      <c r="M761" s="60"/>
      <c r="N761" s="60"/>
      <c r="O761" s="60"/>
      <c r="P761" s="210"/>
      <c r="Q761" s="211"/>
    </row>
    <row r="762" spans="1:17" ht="63.75" thickBot="1" x14ac:dyDescent="0.3">
      <c r="A762" s="93" t="s">
        <v>1396</v>
      </c>
      <c r="B762" s="94" t="s">
        <v>1397</v>
      </c>
      <c r="C762" s="61" t="s">
        <v>1071</v>
      </c>
      <c r="D762" s="95">
        <v>19.5</v>
      </c>
      <c r="E762" s="95">
        <v>19.5</v>
      </c>
      <c r="F762" s="96"/>
      <c r="G762" s="79">
        <f t="shared" si="42"/>
        <v>1</v>
      </c>
      <c r="H762" s="61" t="s">
        <v>1398</v>
      </c>
      <c r="I762" s="65" t="s">
        <v>14</v>
      </c>
      <c r="J762" s="66">
        <v>100</v>
      </c>
      <c r="K762" s="89">
        <v>100</v>
      </c>
      <c r="L762" s="68" t="s">
        <v>54</v>
      </c>
      <c r="M762" s="68" t="s">
        <v>15</v>
      </c>
      <c r="N762" s="68" t="s">
        <v>54</v>
      </c>
      <c r="O762" s="68" t="s">
        <v>15</v>
      </c>
      <c r="P762" s="146" t="s">
        <v>1583</v>
      </c>
      <c r="Q762" s="90"/>
    </row>
    <row r="763" spans="1:17" ht="63.75" thickBot="1" x14ac:dyDescent="0.3">
      <c r="A763" s="93" t="s">
        <v>1399</v>
      </c>
      <c r="B763" s="94" t="s">
        <v>1400</v>
      </c>
      <c r="C763" s="61" t="s">
        <v>1071</v>
      </c>
      <c r="D763" s="95">
        <v>0.3</v>
      </c>
      <c r="E763" s="95">
        <v>0.3</v>
      </c>
      <c r="F763" s="96"/>
      <c r="G763" s="79">
        <f t="shared" si="42"/>
        <v>1</v>
      </c>
      <c r="H763" s="61" t="s">
        <v>1398</v>
      </c>
      <c r="I763" s="65" t="s">
        <v>14</v>
      </c>
      <c r="J763" s="66">
        <v>100</v>
      </c>
      <c r="K763" s="89">
        <v>100</v>
      </c>
      <c r="L763" s="68" t="s">
        <v>54</v>
      </c>
      <c r="M763" s="68" t="s">
        <v>15</v>
      </c>
      <c r="N763" s="68" t="s">
        <v>54</v>
      </c>
      <c r="O763" s="68" t="s">
        <v>15</v>
      </c>
      <c r="P763" s="146" t="s">
        <v>1583</v>
      </c>
      <c r="Q763" s="90"/>
    </row>
    <row r="764" spans="1:17" ht="63.75" thickBot="1" x14ac:dyDescent="0.3">
      <c r="A764" s="93" t="s">
        <v>1401</v>
      </c>
      <c r="B764" s="94" t="s">
        <v>1402</v>
      </c>
      <c r="C764" s="61" t="s">
        <v>1071</v>
      </c>
      <c r="D764" s="95">
        <v>32.6</v>
      </c>
      <c r="E764" s="95">
        <v>32.6</v>
      </c>
      <c r="F764" s="96"/>
      <c r="G764" s="79">
        <f t="shared" si="42"/>
        <v>1</v>
      </c>
      <c r="H764" s="61" t="s">
        <v>1398</v>
      </c>
      <c r="I764" s="65" t="s">
        <v>14</v>
      </c>
      <c r="J764" s="66">
        <v>100</v>
      </c>
      <c r="K764" s="89">
        <v>100</v>
      </c>
      <c r="L764" s="68" t="s">
        <v>54</v>
      </c>
      <c r="M764" s="68" t="s">
        <v>15</v>
      </c>
      <c r="N764" s="68" t="s">
        <v>54</v>
      </c>
      <c r="O764" s="68" t="s">
        <v>15</v>
      </c>
      <c r="P764" s="146" t="s">
        <v>1583</v>
      </c>
      <c r="Q764" s="90"/>
    </row>
    <row r="765" spans="1:17" ht="63.75" thickBot="1" x14ac:dyDescent="0.3">
      <c r="A765" s="93" t="s">
        <v>1403</v>
      </c>
      <c r="B765" s="94" t="s">
        <v>1404</v>
      </c>
      <c r="C765" s="61" t="s">
        <v>1071</v>
      </c>
      <c r="D765" s="95">
        <v>55.2</v>
      </c>
      <c r="E765" s="95">
        <v>55.2</v>
      </c>
      <c r="F765" s="96"/>
      <c r="G765" s="79">
        <f t="shared" si="42"/>
        <v>1</v>
      </c>
      <c r="H765" s="61" t="s">
        <v>1398</v>
      </c>
      <c r="I765" s="65" t="s">
        <v>14</v>
      </c>
      <c r="J765" s="66">
        <v>100</v>
      </c>
      <c r="K765" s="89">
        <v>100</v>
      </c>
      <c r="L765" s="68" t="s">
        <v>54</v>
      </c>
      <c r="M765" s="68" t="s">
        <v>15</v>
      </c>
      <c r="N765" s="68" t="s">
        <v>54</v>
      </c>
      <c r="O765" s="68" t="s">
        <v>15</v>
      </c>
      <c r="P765" s="146" t="s">
        <v>1583</v>
      </c>
      <c r="Q765" s="90"/>
    </row>
    <row r="766" spans="1:17" ht="63.75" thickBot="1" x14ac:dyDescent="0.3">
      <c r="A766" s="93" t="s">
        <v>1405</v>
      </c>
      <c r="B766" s="94" t="s">
        <v>1406</v>
      </c>
      <c r="C766" s="61" t="s">
        <v>1071</v>
      </c>
      <c r="D766" s="95">
        <v>1.7</v>
      </c>
      <c r="E766" s="95">
        <v>1.7</v>
      </c>
      <c r="F766" s="96"/>
      <c r="G766" s="79">
        <f t="shared" si="42"/>
        <v>1</v>
      </c>
      <c r="H766" s="61" t="s">
        <v>1398</v>
      </c>
      <c r="I766" s="65" t="s">
        <v>14</v>
      </c>
      <c r="J766" s="66">
        <v>100</v>
      </c>
      <c r="K766" s="89">
        <v>100</v>
      </c>
      <c r="L766" s="68" t="s">
        <v>54</v>
      </c>
      <c r="M766" s="68" t="s">
        <v>15</v>
      </c>
      <c r="N766" s="68" t="s">
        <v>54</v>
      </c>
      <c r="O766" s="68" t="s">
        <v>15</v>
      </c>
      <c r="P766" s="146" t="s">
        <v>1583</v>
      </c>
      <c r="Q766" s="90"/>
    </row>
    <row r="767" spans="1:17" ht="63.75" thickBot="1" x14ac:dyDescent="0.3">
      <c r="A767" s="93" t="s">
        <v>1407</v>
      </c>
      <c r="B767" s="94" t="s">
        <v>1408</v>
      </c>
      <c r="C767" s="61" t="s">
        <v>1071</v>
      </c>
      <c r="D767" s="95">
        <v>15.3</v>
      </c>
      <c r="E767" s="95">
        <v>15.3</v>
      </c>
      <c r="F767" s="96"/>
      <c r="G767" s="79">
        <f t="shared" si="42"/>
        <v>1</v>
      </c>
      <c r="H767" s="61" t="s">
        <v>1398</v>
      </c>
      <c r="I767" s="65" t="s">
        <v>14</v>
      </c>
      <c r="J767" s="66">
        <v>100</v>
      </c>
      <c r="K767" s="89">
        <v>100</v>
      </c>
      <c r="L767" s="68" t="s">
        <v>54</v>
      </c>
      <c r="M767" s="68" t="s">
        <v>15</v>
      </c>
      <c r="N767" s="68" t="s">
        <v>54</v>
      </c>
      <c r="O767" s="68" t="s">
        <v>15</v>
      </c>
      <c r="P767" s="146" t="s">
        <v>1583</v>
      </c>
      <c r="Q767" s="90"/>
    </row>
    <row r="768" spans="1:17" ht="63.75" thickBot="1" x14ac:dyDescent="0.3">
      <c r="A768" s="93" t="s">
        <v>1409</v>
      </c>
      <c r="B768" s="94" t="s">
        <v>1410</v>
      </c>
      <c r="C768" s="61" t="s">
        <v>1071</v>
      </c>
      <c r="D768" s="95">
        <v>26</v>
      </c>
      <c r="E768" s="95">
        <v>26</v>
      </c>
      <c r="F768" s="96"/>
      <c r="G768" s="79">
        <f t="shared" si="42"/>
        <v>1</v>
      </c>
      <c r="H768" s="61" t="s">
        <v>1398</v>
      </c>
      <c r="I768" s="65" t="s">
        <v>14</v>
      </c>
      <c r="J768" s="66">
        <v>100</v>
      </c>
      <c r="K768" s="89">
        <v>100</v>
      </c>
      <c r="L768" s="68" t="s">
        <v>54</v>
      </c>
      <c r="M768" s="68" t="s">
        <v>15</v>
      </c>
      <c r="N768" s="68" t="s">
        <v>54</v>
      </c>
      <c r="O768" s="68" t="s">
        <v>15</v>
      </c>
      <c r="P768" s="146" t="s">
        <v>1583</v>
      </c>
      <c r="Q768" s="90"/>
    </row>
    <row r="769" spans="1:17" ht="63.75" thickBot="1" x14ac:dyDescent="0.3">
      <c r="A769" s="93" t="s">
        <v>1411</v>
      </c>
      <c r="B769" s="94" t="s">
        <v>1412</v>
      </c>
      <c r="C769" s="61" t="s">
        <v>1071</v>
      </c>
      <c r="D769" s="95">
        <v>75.8</v>
      </c>
      <c r="E769" s="95">
        <v>75.8</v>
      </c>
      <c r="F769" s="96"/>
      <c r="G769" s="79">
        <f t="shared" si="42"/>
        <v>1</v>
      </c>
      <c r="H769" s="61" t="s">
        <v>1398</v>
      </c>
      <c r="I769" s="65" t="s">
        <v>14</v>
      </c>
      <c r="J769" s="66">
        <v>100</v>
      </c>
      <c r="K769" s="89">
        <v>100</v>
      </c>
      <c r="L769" s="68" t="s">
        <v>54</v>
      </c>
      <c r="M769" s="68" t="s">
        <v>15</v>
      </c>
      <c r="N769" s="68" t="s">
        <v>54</v>
      </c>
      <c r="O769" s="68" t="s">
        <v>15</v>
      </c>
      <c r="P769" s="146" t="s">
        <v>1583</v>
      </c>
      <c r="Q769" s="90"/>
    </row>
    <row r="770" spans="1:17" ht="63.75" thickBot="1" x14ac:dyDescent="0.3">
      <c r="A770" s="93" t="s">
        <v>1413</v>
      </c>
      <c r="B770" s="94" t="s">
        <v>1414</v>
      </c>
      <c r="C770" s="61" t="s">
        <v>1071</v>
      </c>
      <c r="D770" s="95">
        <v>18.600000000000001</v>
      </c>
      <c r="E770" s="95">
        <v>18.600000000000001</v>
      </c>
      <c r="F770" s="96"/>
      <c r="G770" s="79">
        <f t="shared" si="42"/>
        <v>1</v>
      </c>
      <c r="H770" s="61" t="s">
        <v>1398</v>
      </c>
      <c r="I770" s="65" t="s">
        <v>14</v>
      </c>
      <c r="J770" s="66">
        <v>100</v>
      </c>
      <c r="K770" s="89">
        <v>100</v>
      </c>
      <c r="L770" s="68" t="s">
        <v>54</v>
      </c>
      <c r="M770" s="68" t="s">
        <v>15</v>
      </c>
      <c r="N770" s="68" t="s">
        <v>54</v>
      </c>
      <c r="O770" s="68" t="s">
        <v>15</v>
      </c>
      <c r="P770" s="146" t="s">
        <v>1583</v>
      </c>
      <c r="Q770" s="90"/>
    </row>
    <row r="771" spans="1:17" ht="63.75" thickBot="1" x14ac:dyDescent="0.3">
      <c r="A771" s="93" t="s">
        <v>1415</v>
      </c>
      <c r="B771" s="94" t="s">
        <v>1416</v>
      </c>
      <c r="C771" s="61" t="s">
        <v>1071</v>
      </c>
      <c r="D771" s="95">
        <v>68.5</v>
      </c>
      <c r="E771" s="95">
        <v>68.5</v>
      </c>
      <c r="F771" s="96"/>
      <c r="G771" s="79">
        <f t="shared" si="42"/>
        <v>1</v>
      </c>
      <c r="H771" s="61" t="s">
        <v>1398</v>
      </c>
      <c r="I771" s="65" t="s">
        <v>14</v>
      </c>
      <c r="J771" s="66">
        <v>100</v>
      </c>
      <c r="K771" s="89">
        <v>100</v>
      </c>
      <c r="L771" s="68" t="s">
        <v>54</v>
      </c>
      <c r="M771" s="68" t="s">
        <v>15</v>
      </c>
      <c r="N771" s="68" t="s">
        <v>54</v>
      </c>
      <c r="O771" s="68" t="s">
        <v>15</v>
      </c>
      <c r="P771" s="146" t="s">
        <v>1583</v>
      </c>
      <c r="Q771" s="90"/>
    </row>
    <row r="772" spans="1:17" ht="63.75" thickBot="1" x14ac:dyDescent="0.3">
      <c r="A772" s="93" t="s">
        <v>1417</v>
      </c>
      <c r="B772" s="94" t="s">
        <v>1418</v>
      </c>
      <c r="C772" s="61" t="s">
        <v>1071</v>
      </c>
      <c r="D772" s="95">
        <v>7.6</v>
      </c>
      <c r="E772" s="95">
        <v>7.6</v>
      </c>
      <c r="F772" s="96"/>
      <c r="G772" s="79">
        <f t="shared" si="42"/>
        <v>1</v>
      </c>
      <c r="H772" s="61" t="s">
        <v>1398</v>
      </c>
      <c r="I772" s="65" t="s">
        <v>14</v>
      </c>
      <c r="J772" s="66">
        <v>100</v>
      </c>
      <c r="K772" s="89">
        <v>100</v>
      </c>
      <c r="L772" s="68" t="s">
        <v>54</v>
      </c>
      <c r="M772" s="68" t="s">
        <v>15</v>
      </c>
      <c r="N772" s="68" t="s">
        <v>54</v>
      </c>
      <c r="O772" s="68" t="s">
        <v>15</v>
      </c>
      <c r="P772" s="146" t="s">
        <v>1583</v>
      </c>
      <c r="Q772" s="90"/>
    </row>
    <row r="773" spans="1:17" ht="63.75" thickBot="1" x14ac:dyDescent="0.3">
      <c r="A773" s="93" t="s">
        <v>1419</v>
      </c>
      <c r="B773" s="94" t="s">
        <v>1420</v>
      </c>
      <c r="C773" s="61" t="s">
        <v>1071</v>
      </c>
      <c r="D773" s="95">
        <v>5.3</v>
      </c>
      <c r="E773" s="95">
        <v>4.9000000000000004</v>
      </c>
      <c r="F773" s="96">
        <v>0.4</v>
      </c>
      <c r="G773" s="79">
        <f t="shared" si="42"/>
        <v>0.92452830188679258</v>
      </c>
      <c r="H773" s="61" t="s">
        <v>1398</v>
      </c>
      <c r="I773" s="65" t="s">
        <v>14</v>
      </c>
      <c r="J773" s="66">
        <v>100</v>
      </c>
      <c r="K773" s="89">
        <v>100</v>
      </c>
      <c r="L773" s="68" t="s">
        <v>54</v>
      </c>
      <c r="M773" s="68" t="s">
        <v>15</v>
      </c>
      <c r="N773" s="68" t="s">
        <v>54</v>
      </c>
      <c r="O773" s="68" t="s">
        <v>15</v>
      </c>
      <c r="P773" s="146" t="s">
        <v>1583</v>
      </c>
      <c r="Q773" s="69"/>
    </row>
    <row r="774" spans="1:17" ht="63.75" thickBot="1" x14ac:dyDescent="0.3">
      <c r="A774" s="93" t="s">
        <v>1421</v>
      </c>
      <c r="B774" s="94" t="s">
        <v>1422</v>
      </c>
      <c r="C774" s="61" t="s">
        <v>1071</v>
      </c>
      <c r="D774" s="95">
        <v>17.3</v>
      </c>
      <c r="E774" s="95">
        <v>16.399999999999999</v>
      </c>
      <c r="F774" s="96">
        <v>0.9</v>
      </c>
      <c r="G774" s="79">
        <f t="shared" si="42"/>
        <v>0.94797687861271662</v>
      </c>
      <c r="H774" s="61" t="s">
        <v>1398</v>
      </c>
      <c r="I774" s="65" t="s">
        <v>14</v>
      </c>
      <c r="J774" s="66">
        <v>100</v>
      </c>
      <c r="K774" s="89">
        <v>100</v>
      </c>
      <c r="L774" s="68" t="s">
        <v>54</v>
      </c>
      <c r="M774" s="68" t="s">
        <v>15</v>
      </c>
      <c r="N774" s="68" t="s">
        <v>54</v>
      </c>
      <c r="O774" s="68" t="s">
        <v>15</v>
      </c>
      <c r="P774" s="146" t="s">
        <v>1583</v>
      </c>
      <c r="Q774" s="90"/>
    </row>
    <row r="775" spans="1:17" ht="63.75" thickBot="1" x14ac:dyDescent="0.3">
      <c r="A775" s="93" t="s">
        <v>1423</v>
      </c>
      <c r="B775" s="94" t="s">
        <v>1424</v>
      </c>
      <c r="C775" s="61" t="s">
        <v>1071</v>
      </c>
      <c r="D775" s="95"/>
      <c r="E775" s="95"/>
      <c r="F775" s="96"/>
      <c r="G775" s="96"/>
      <c r="H775" s="61" t="s">
        <v>1398</v>
      </c>
      <c r="I775" s="65" t="s">
        <v>14</v>
      </c>
      <c r="J775" s="66">
        <v>100</v>
      </c>
      <c r="K775" s="89">
        <v>100</v>
      </c>
      <c r="L775" s="68" t="s">
        <v>54</v>
      </c>
      <c r="M775" s="68" t="s">
        <v>15</v>
      </c>
      <c r="N775" s="68" t="s">
        <v>54</v>
      </c>
      <c r="O775" s="68" t="s">
        <v>15</v>
      </c>
      <c r="P775" s="146" t="s">
        <v>1583</v>
      </c>
      <c r="Q775" s="90"/>
    </row>
    <row r="776" spans="1:17" ht="63.75" thickBot="1" x14ac:dyDescent="0.3">
      <c r="A776" s="93" t="s">
        <v>1425</v>
      </c>
      <c r="B776" s="94" t="s">
        <v>1426</v>
      </c>
      <c r="C776" s="61" t="s">
        <v>1071</v>
      </c>
      <c r="D776" s="95">
        <v>48.7</v>
      </c>
      <c r="E776" s="95">
        <v>42.1</v>
      </c>
      <c r="F776" s="96">
        <v>6.6</v>
      </c>
      <c r="G776" s="79">
        <f>SUM(E776/D776)</f>
        <v>0.86447638603696098</v>
      </c>
      <c r="H776" s="61" t="s">
        <v>1398</v>
      </c>
      <c r="I776" s="65" t="s">
        <v>14</v>
      </c>
      <c r="J776" s="66">
        <v>100</v>
      </c>
      <c r="K776" s="89">
        <v>100</v>
      </c>
      <c r="L776" s="68" t="s">
        <v>54</v>
      </c>
      <c r="M776" s="68" t="s">
        <v>15</v>
      </c>
      <c r="N776" s="68" t="s">
        <v>54</v>
      </c>
      <c r="O776" s="68" t="s">
        <v>15</v>
      </c>
      <c r="P776" s="146" t="s">
        <v>1583</v>
      </c>
      <c r="Q776" s="90"/>
    </row>
    <row r="777" spans="1:17" ht="63.75" thickBot="1" x14ac:dyDescent="0.3">
      <c r="A777" s="93" t="s">
        <v>1427</v>
      </c>
      <c r="B777" s="94" t="s">
        <v>1428</v>
      </c>
      <c r="C777" s="61" t="s">
        <v>1071</v>
      </c>
      <c r="D777" s="95">
        <v>55.5</v>
      </c>
      <c r="E777" s="95">
        <v>55.5</v>
      </c>
      <c r="F777" s="96"/>
      <c r="G777" s="79">
        <f>SUM(E777/D777)</f>
        <v>1</v>
      </c>
      <c r="H777" s="61" t="s">
        <v>1398</v>
      </c>
      <c r="I777" s="65" t="s">
        <v>14</v>
      </c>
      <c r="J777" s="66">
        <v>100</v>
      </c>
      <c r="K777" s="89">
        <v>100</v>
      </c>
      <c r="L777" s="68" t="s">
        <v>54</v>
      </c>
      <c r="M777" s="68" t="s">
        <v>15</v>
      </c>
      <c r="N777" s="68" t="s">
        <v>54</v>
      </c>
      <c r="O777" s="68" t="s">
        <v>15</v>
      </c>
      <c r="P777" s="146" t="s">
        <v>1583</v>
      </c>
      <c r="Q777" s="90"/>
    </row>
    <row r="778" spans="1:17" ht="63" x14ac:dyDescent="0.25">
      <c r="A778" s="280" t="s">
        <v>1429</v>
      </c>
      <c r="B778" s="282" t="s">
        <v>1430</v>
      </c>
      <c r="C778" s="61"/>
      <c r="D778" s="62">
        <f>SUM(D779:D779)</f>
        <v>1.4</v>
      </c>
      <c r="E778" s="62">
        <f>SUM(E779:E779)</f>
        <v>1.2</v>
      </c>
      <c r="F778" s="63">
        <f>SUM(F779:F779)</f>
        <v>0.2</v>
      </c>
      <c r="G778" s="79">
        <f>SUM(E778/D778)</f>
        <v>0.85714285714285721</v>
      </c>
      <c r="H778" s="212" t="s">
        <v>1398</v>
      </c>
      <c r="I778" s="215" t="s">
        <v>14</v>
      </c>
      <c r="J778" s="218">
        <v>100</v>
      </c>
      <c r="K778" s="243">
        <v>100</v>
      </c>
      <c r="L778" s="68" t="s">
        <v>54</v>
      </c>
      <c r="M778" s="68" t="s">
        <v>15</v>
      </c>
      <c r="N778" s="68" t="s">
        <v>54</v>
      </c>
      <c r="O778" s="68" t="s">
        <v>15</v>
      </c>
      <c r="P778" s="265" t="s">
        <v>1583</v>
      </c>
      <c r="Q778" s="224"/>
    </row>
    <row r="779" spans="1:17" ht="42" customHeight="1" thickBot="1" x14ac:dyDescent="0.3">
      <c r="A779" s="281"/>
      <c r="B779" s="283"/>
      <c r="C779" s="70" t="s">
        <v>1071</v>
      </c>
      <c r="D779" s="71">
        <v>1.4</v>
      </c>
      <c r="E779" s="71">
        <v>1.2</v>
      </c>
      <c r="F779" s="72">
        <v>0.2</v>
      </c>
      <c r="G779" s="125">
        <f>SUM(E779/D779)</f>
        <v>0.85714285714285721</v>
      </c>
      <c r="H779" s="214"/>
      <c r="I779" s="217"/>
      <c r="J779" s="220"/>
      <c r="K779" s="245"/>
      <c r="L779" s="76"/>
      <c r="M779" s="76"/>
      <c r="N779" s="76"/>
      <c r="O779" s="76"/>
      <c r="P779" s="266"/>
      <c r="Q779" s="226"/>
    </row>
    <row r="780" spans="1:17" ht="63" x14ac:dyDescent="0.25">
      <c r="A780" s="280" t="s">
        <v>1431</v>
      </c>
      <c r="B780" s="282" t="s">
        <v>1432</v>
      </c>
      <c r="C780" s="61" t="s">
        <v>1071</v>
      </c>
      <c r="D780" s="62">
        <f>SUM(D781:D781)+10.4</f>
        <v>10.4</v>
      </c>
      <c r="E780" s="62">
        <f>SUM(E781:E781)+10.4</f>
        <v>10.4</v>
      </c>
      <c r="F780" s="63"/>
      <c r="G780" s="79">
        <f>SUM(E780/D780)</f>
        <v>1</v>
      </c>
      <c r="H780" s="61" t="s">
        <v>1433</v>
      </c>
      <c r="I780" s="65" t="s">
        <v>19</v>
      </c>
      <c r="J780" s="66">
        <v>10</v>
      </c>
      <c r="K780" s="67">
        <v>0</v>
      </c>
      <c r="L780" s="68" t="s">
        <v>114</v>
      </c>
      <c r="M780" s="68" t="s">
        <v>15</v>
      </c>
      <c r="N780" s="68" t="s">
        <v>114</v>
      </c>
      <c r="O780" s="68" t="s">
        <v>15</v>
      </c>
      <c r="P780" s="129"/>
      <c r="Q780" s="69" t="s">
        <v>1820</v>
      </c>
    </row>
    <row r="781" spans="1:17" ht="63.75" thickBot="1" x14ac:dyDescent="0.3">
      <c r="A781" s="281"/>
      <c r="B781" s="283"/>
      <c r="C781" s="70"/>
      <c r="D781" s="71"/>
      <c r="E781" s="71"/>
      <c r="F781" s="72"/>
      <c r="G781" s="72"/>
      <c r="H781" s="70" t="s">
        <v>1434</v>
      </c>
      <c r="I781" s="73" t="s">
        <v>19</v>
      </c>
      <c r="J781" s="74">
        <v>50</v>
      </c>
      <c r="K781" s="111">
        <v>356</v>
      </c>
      <c r="L781" s="76" t="s">
        <v>146</v>
      </c>
      <c r="M781" s="76" t="s">
        <v>15</v>
      </c>
      <c r="N781" s="76" t="s">
        <v>146</v>
      </c>
      <c r="O781" s="76" t="s">
        <v>15</v>
      </c>
      <c r="P781" s="70" t="s">
        <v>1435</v>
      </c>
      <c r="Q781" s="77"/>
    </row>
    <row r="782" spans="1:17" ht="79.5" thickBot="1" x14ac:dyDescent="0.3">
      <c r="A782" s="93" t="s">
        <v>1436</v>
      </c>
      <c r="B782" s="94" t="s">
        <v>1437</v>
      </c>
      <c r="C782" s="61" t="s">
        <v>1071</v>
      </c>
      <c r="D782" s="95">
        <v>20.9</v>
      </c>
      <c r="E782" s="95">
        <v>20.9</v>
      </c>
      <c r="F782" s="96"/>
      <c r="G782" s="79">
        <f>SUM(E782/D782)</f>
        <v>1</v>
      </c>
      <c r="H782" s="61" t="s">
        <v>1398</v>
      </c>
      <c r="I782" s="65" t="s">
        <v>14</v>
      </c>
      <c r="J782" s="66">
        <v>100</v>
      </c>
      <c r="K782" s="89">
        <v>100</v>
      </c>
      <c r="L782" s="68"/>
      <c r="M782" s="68"/>
      <c r="N782" s="68"/>
      <c r="O782" s="68"/>
      <c r="P782" s="146" t="s">
        <v>1583</v>
      </c>
      <c r="Q782" s="90"/>
    </row>
    <row r="783" spans="1:17" ht="63.75" thickBot="1" x14ac:dyDescent="0.3">
      <c r="A783" s="93" t="s">
        <v>1438</v>
      </c>
      <c r="B783" s="94" t="s">
        <v>1439</v>
      </c>
      <c r="C783" s="61" t="s">
        <v>1071</v>
      </c>
      <c r="D783" s="95">
        <v>39.6</v>
      </c>
      <c r="E783" s="95">
        <v>39.6</v>
      </c>
      <c r="F783" s="96"/>
      <c r="G783" s="79">
        <f>SUM(E783/D783)</f>
        <v>1</v>
      </c>
      <c r="H783" s="61" t="s">
        <v>1440</v>
      </c>
      <c r="I783" s="65" t="s">
        <v>14</v>
      </c>
      <c r="J783" s="66">
        <v>100</v>
      </c>
      <c r="K783" s="89">
        <v>100</v>
      </c>
      <c r="L783" s="68" t="s">
        <v>54</v>
      </c>
      <c r="M783" s="68" t="s">
        <v>15</v>
      </c>
      <c r="N783" s="68" t="s">
        <v>54</v>
      </c>
      <c r="O783" s="68" t="s">
        <v>15</v>
      </c>
      <c r="P783" s="146" t="s">
        <v>1583</v>
      </c>
      <c r="Q783" s="90"/>
    </row>
    <row r="784" spans="1:17" ht="79.5" thickBot="1" x14ac:dyDescent="0.3">
      <c r="A784" s="53" t="s">
        <v>1441</v>
      </c>
      <c r="B784" s="54" t="s">
        <v>1442</v>
      </c>
      <c r="C784" s="55"/>
      <c r="D784" s="56">
        <f>D785+D786+D790+D791</f>
        <v>480.99999999999994</v>
      </c>
      <c r="E784" s="56">
        <f>E785+E786+E790+E791</f>
        <v>327.09999999999997</v>
      </c>
      <c r="F784" s="56">
        <f>F785+F786+F790+F791+0.1</f>
        <v>153.99999999999997</v>
      </c>
      <c r="G784" s="57">
        <f>SUM(E784/D784)</f>
        <v>0.68004158004158</v>
      </c>
      <c r="H784" s="55"/>
      <c r="I784" s="58"/>
      <c r="J784" s="59"/>
      <c r="K784" s="59"/>
      <c r="L784" s="60"/>
      <c r="M784" s="60"/>
      <c r="N784" s="60"/>
      <c r="O784" s="60"/>
      <c r="P784" s="210"/>
      <c r="Q784" s="211"/>
    </row>
    <row r="785" spans="1:17" ht="111" thickBot="1" x14ac:dyDescent="0.3">
      <c r="A785" s="93" t="s">
        <v>1443</v>
      </c>
      <c r="B785" s="94" t="s">
        <v>1444</v>
      </c>
      <c r="C785" s="61"/>
      <c r="D785" s="95"/>
      <c r="E785" s="95"/>
      <c r="F785" s="96"/>
      <c r="G785" s="96"/>
      <c r="H785" s="61" t="s">
        <v>1445</v>
      </c>
      <c r="I785" s="65" t="s">
        <v>19</v>
      </c>
      <c r="J785" s="66">
        <v>30</v>
      </c>
      <c r="K785" s="145">
        <v>29</v>
      </c>
      <c r="L785" s="68" t="s">
        <v>114</v>
      </c>
      <c r="M785" s="68" t="s">
        <v>15</v>
      </c>
      <c r="N785" s="68" t="s">
        <v>114</v>
      </c>
      <c r="O785" s="68" t="s">
        <v>15</v>
      </c>
      <c r="P785" s="146" t="s">
        <v>1757</v>
      </c>
      <c r="Q785" s="69" t="s">
        <v>1758</v>
      </c>
    </row>
    <row r="786" spans="1:17" ht="107.25" customHeight="1" x14ac:dyDescent="0.25">
      <c r="A786" s="280" t="s">
        <v>1446</v>
      </c>
      <c r="B786" s="282" t="s">
        <v>1447</v>
      </c>
      <c r="C786" s="61"/>
      <c r="D786" s="62">
        <f>SUM(D787:D789)</f>
        <v>440.19999999999993</v>
      </c>
      <c r="E786" s="62">
        <f>SUM(E787:E789)</f>
        <v>313.7</v>
      </c>
      <c r="F786" s="63">
        <f>SUM(F787:F789)</f>
        <v>126.5</v>
      </c>
      <c r="G786" s="79">
        <f t="shared" ref="G786:G791" si="43">SUM(E786/D786)</f>
        <v>0.71263062244434361</v>
      </c>
      <c r="H786" s="212" t="s">
        <v>1448</v>
      </c>
      <c r="I786" s="215" t="s">
        <v>19</v>
      </c>
      <c r="J786" s="218">
        <v>3</v>
      </c>
      <c r="K786" s="221">
        <v>2</v>
      </c>
      <c r="L786" s="68" t="s">
        <v>29</v>
      </c>
      <c r="M786" s="68" t="s">
        <v>15</v>
      </c>
      <c r="N786" s="68" t="s">
        <v>15</v>
      </c>
      <c r="O786" s="68" t="s">
        <v>15</v>
      </c>
      <c r="P786" s="212" t="s">
        <v>1449</v>
      </c>
      <c r="Q786" s="262" t="s">
        <v>1787</v>
      </c>
    </row>
    <row r="787" spans="1:17" ht="15.75" x14ac:dyDescent="0.25">
      <c r="A787" s="284"/>
      <c r="B787" s="324"/>
      <c r="C787" s="70" t="s">
        <v>229</v>
      </c>
      <c r="D787" s="71">
        <v>342.9</v>
      </c>
      <c r="E787" s="71">
        <v>244.5</v>
      </c>
      <c r="F787" s="72">
        <v>98.4</v>
      </c>
      <c r="G787" s="80">
        <f t="shared" si="43"/>
        <v>0.71303587051618555</v>
      </c>
      <c r="H787" s="213"/>
      <c r="I787" s="216"/>
      <c r="J787" s="219"/>
      <c r="K787" s="222"/>
      <c r="L787" s="76"/>
      <c r="M787" s="76"/>
      <c r="N787" s="76"/>
      <c r="O787" s="76"/>
      <c r="P787" s="213"/>
      <c r="Q787" s="264"/>
    </row>
    <row r="788" spans="1:17" ht="15.75" x14ac:dyDescent="0.25">
      <c r="A788" s="284"/>
      <c r="B788" s="324"/>
      <c r="C788" s="70" t="s">
        <v>37</v>
      </c>
      <c r="D788" s="71">
        <v>32.4</v>
      </c>
      <c r="E788" s="71">
        <v>27.7</v>
      </c>
      <c r="F788" s="72">
        <v>4.7</v>
      </c>
      <c r="G788" s="80">
        <f t="shared" si="43"/>
        <v>0.85493827160493829</v>
      </c>
      <c r="H788" s="213"/>
      <c r="I788" s="216"/>
      <c r="J788" s="219"/>
      <c r="K788" s="222"/>
      <c r="L788" s="76"/>
      <c r="M788" s="76"/>
      <c r="N788" s="76"/>
      <c r="O788" s="76"/>
      <c r="P788" s="213"/>
      <c r="Q788" s="264"/>
    </row>
    <row r="789" spans="1:17" ht="37.5" customHeight="1" thickBot="1" x14ac:dyDescent="0.3">
      <c r="A789" s="281"/>
      <c r="B789" s="283"/>
      <c r="C789" s="70" t="s">
        <v>175</v>
      </c>
      <c r="D789" s="71">
        <v>64.900000000000006</v>
      </c>
      <c r="E789" s="71">
        <v>41.5</v>
      </c>
      <c r="F789" s="72">
        <v>23.4</v>
      </c>
      <c r="G789" s="91">
        <f t="shared" si="43"/>
        <v>0.63944530046224957</v>
      </c>
      <c r="H789" s="214"/>
      <c r="I789" s="217"/>
      <c r="J789" s="220"/>
      <c r="K789" s="223"/>
      <c r="L789" s="76"/>
      <c r="M789" s="76"/>
      <c r="N789" s="76"/>
      <c r="O789" s="76"/>
      <c r="P789" s="214"/>
      <c r="Q789" s="263"/>
    </row>
    <row r="790" spans="1:17" ht="111" thickBot="1" x14ac:dyDescent="0.3">
      <c r="A790" s="93" t="s">
        <v>1450</v>
      </c>
      <c r="B790" s="94" t="s">
        <v>1451</v>
      </c>
      <c r="C790" s="61" t="s">
        <v>37</v>
      </c>
      <c r="D790" s="95">
        <v>21.7</v>
      </c>
      <c r="E790" s="95"/>
      <c r="F790" s="96">
        <v>21.7</v>
      </c>
      <c r="G790" s="79">
        <f t="shared" si="43"/>
        <v>0</v>
      </c>
      <c r="H790" s="61" t="s">
        <v>1452</v>
      </c>
      <c r="I790" s="65" t="s">
        <v>19</v>
      </c>
      <c r="J790" s="66">
        <v>1</v>
      </c>
      <c r="K790" s="89">
        <v>1</v>
      </c>
      <c r="L790" s="68"/>
      <c r="M790" s="68"/>
      <c r="N790" s="68"/>
      <c r="O790" s="68"/>
      <c r="P790" s="61" t="s">
        <v>1453</v>
      </c>
      <c r="Q790" s="132" t="s">
        <v>1759</v>
      </c>
    </row>
    <row r="791" spans="1:17" ht="92.25" customHeight="1" x14ac:dyDescent="0.25">
      <c r="A791" s="280" t="s">
        <v>1454</v>
      </c>
      <c r="B791" s="282" t="s">
        <v>1455</v>
      </c>
      <c r="C791" s="215" t="s">
        <v>27</v>
      </c>
      <c r="D791" s="232">
        <f>SUM(D792:D792)+19.1</f>
        <v>19.100000000000001</v>
      </c>
      <c r="E791" s="232">
        <f>SUM(E792:E792)+13.4</f>
        <v>13.4</v>
      </c>
      <c r="F791" s="235">
        <f>SUM(F792:F792)+5.7</f>
        <v>5.7</v>
      </c>
      <c r="G791" s="238">
        <f t="shared" si="43"/>
        <v>0.70157068062827221</v>
      </c>
      <c r="H791" s="212" t="s">
        <v>1456</v>
      </c>
      <c r="I791" s="215" t="s">
        <v>19</v>
      </c>
      <c r="J791" s="218">
        <v>1</v>
      </c>
      <c r="K791" s="243">
        <v>1</v>
      </c>
      <c r="L791" s="68"/>
      <c r="M791" s="68"/>
      <c r="N791" s="68"/>
      <c r="O791" s="68"/>
      <c r="P791" s="212" t="s">
        <v>1457</v>
      </c>
      <c r="Q791" s="262" t="s">
        <v>1760</v>
      </c>
    </row>
    <row r="792" spans="1:17" ht="16.5" thickBot="1" x14ac:dyDescent="0.3">
      <c r="A792" s="281"/>
      <c r="B792" s="283"/>
      <c r="C792" s="217"/>
      <c r="D792" s="234"/>
      <c r="E792" s="234"/>
      <c r="F792" s="237"/>
      <c r="G792" s="240"/>
      <c r="H792" s="214"/>
      <c r="I792" s="217"/>
      <c r="J792" s="220"/>
      <c r="K792" s="245"/>
      <c r="L792" s="76" t="s">
        <v>761</v>
      </c>
      <c r="M792" s="76" t="s">
        <v>15</v>
      </c>
      <c r="N792" s="76"/>
      <c r="O792" s="76"/>
      <c r="P792" s="214"/>
      <c r="Q792" s="263"/>
    </row>
    <row r="793" spans="1:17" ht="63.75" thickBot="1" x14ac:dyDescent="0.3">
      <c r="A793" s="53" t="s">
        <v>1458</v>
      </c>
      <c r="B793" s="54" t="s">
        <v>1459</v>
      </c>
      <c r="C793" s="55"/>
      <c r="D793" s="56">
        <f>SUM(D794:D794)</f>
        <v>97</v>
      </c>
      <c r="E793" s="56">
        <f>SUM(E794:E794)</f>
        <v>72.7</v>
      </c>
      <c r="F793" s="56">
        <f>SUM(F794:F794)</f>
        <v>24.3</v>
      </c>
      <c r="G793" s="57">
        <f>SUM(E793/D793)</f>
        <v>0.74948453608247423</v>
      </c>
      <c r="H793" s="55"/>
      <c r="I793" s="58"/>
      <c r="J793" s="59"/>
      <c r="K793" s="59"/>
      <c r="L793" s="60"/>
      <c r="M793" s="60"/>
      <c r="N793" s="60"/>
      <c r="O793" s="60"/>
      <c r="P793" s="210"/>
      <c r="Q793" s="211"/>
    </row>
    <row r="794" spans="1:17" ht="142.5" thickBot="1" x14ac:dyDescent="0.3">
      <c r="A794" s="93" t="s">
        <v>1460</v>
      </c>
      <c r="B794" s="94" t="s">
        <v>1461</v>
      </c>
      <c r="C794" s="61" t="s">
        <v>27</v>
      </c>
      <c r="D794" s="95">
        <v>97</v>
      </c>
      <c r="E794" s="95">
        <v>72.7</v>
      </c>
      <c r="F794" s="96">
        <v>24.3</v>
      </c>
      <c r="G794" s="79">
        <f>SUM(E794/D794)</f>
        <v>0.74948453608247423</v>
      </c>
      <c r="H794" s="61" t="s">
        <v>1462</v>
      </c>
      <c r="I794" s="65" t="s">
        <v>14</v>
      </c>
      <c r="J794" s="66">
        <v>100</v>
      </c>
      <c r="K794" s="145">
        <v>80</v>
      </c>
      <c r="L794" s="68" t="s">
        <v>54</v>
      </c>
      <c r="M794" s="68" t="s">
        <v>15</v>
      </c>
      <c r="N794" s="68" t="s">
        <v>54</v>
      </c>
      <c r="O794" s="68" t="s">
        <v>15</v>
      </c>
      <c r="P794" s="61" t="s">
        <v>1761</v>
      </c>
      <c r="Q794" s="132" t="s">
        <v>1762</v>
      </c>
    </row>
    <row r="795" spans="1:17" ht="48" customHeight="1" x14ac:dyDescent="0.25">
      <c r="A795" s="254" t="s">
        <v>1463</v>
      </c>
      <c r="B795" s="256" t="s">
        <v>1464</v>
      </c>
      <c r="C795" s="258"/>
      <c r="D795" s="260">
        <f>D796+D797+D800</f>
        <v>388</v>
      </c>
      <c r="E795" s="260">
        <f>E796+E797+E800</f>
        <v>155</v>
      </c>
      <c r="F795" s="260">
        <f>F796+F797+F800+0.1</f>
        <v>233.1</v>
      </c>
      <c r="G795" s="49">
        <f>SUM(E795/D795)</f>
        <v>0.39948453608247425</v>
      </c>
      <c r="H795" s="47" t="s">
        <v>1465</v>
      </c>
      <c r="I795" s="50" t="s">
        <v>14</v>
      </c>
      <c r="J795" s="51">
        <v>100</v>
      </c>
      <c r="K795" s="51">
        <v>100</v>
      </c>
      <c r="L795" s="52" t="s">
        <v>54</v>
      </c>
      <c r="M795" s="52" t="s">
        <v>15</v>
      </c>
      <c r="N795" s="52" t="s">
        <v>54</v>
      </c>
      <c r="O795" s="52" t="s">
        <v>15</v>
      </c>
      <c r="P795" s="252"/>
      <c r="Q795" s="250" t="s">
        <v>1467</v>
      </c>
    </row>
    <row r="796" spans="1:17" ht="48.75" customHeight="1" thickBot="1" x14ac:dyDescent="0.3">
      <c r="A796" s="255"/>
      <c r="B796" s="257"/>
      <c r="C796" s="259"/>
      <c r="D796" s="261"/>
      <c r="E796" s="261"/>
      <c r="F796" s="261"/>
      <c r="G796" s="106"/>
      <c r="H796" s="105" t="s">
        <v>1466</v>
      </c>
      <c r="I796" s="107" t="s">
        <v>19</v>
      </c>
      <c r="J796" s="108">
        <v>35</v>
      </c>
      <c r="K796" s="108">
        <v>28</v>
      </c>
      <c r="L796" s="144" t="s">
        <v>571</v>
      </c>
      <c r="M796" s="144" t="s">
        <v>15</v>
      </c>
      <c r="N796" s="144" t="s">
        <v>1151</v>
      </c>
      <c r="O796" s="144" t="s">
        <v>15</v>
      </c>
      <c r="P796" s="253"/>
      <c r="Q796" s="251"/>
    </row>
    <row r="797" spans="1:17" ht="79.5" thickBot="1" x14ac:dyDescent="0.3">
      <c r="A797" s="53" t="s">
        <v>1468</v>
      </c>
      <c r="B797" s="54" t="s">
        <v>1469</v>
      </c>
      <c r="C797" s="55"/>
      <c r="D797" s="56">
        <f>SUM(D798:D799)</f>
        <v>43</v>
      </c>
      <c r="E797" s="56">
        <f>SUM(E798:E799)</f>
        <v>43</v>
      </c>
      <c r="F797" s="56"/>
      <c r="G797" s="57">
        <f>SUM(E797/D797)</f>
        <v>1</v>
      </c>
      <c r="H797" s="55"/>
      <c r="I797" s="58"/>
      <c r="J797" s="59"/>
      <c r="K797" s="59"/>
      <c r="L797" s="60"/>
      <c r="M797" s="60"/>
      <c r="N797" s="60"/>
      <c r="O797" s="60"/>
      <c r="P797" s="210"/>
      <c r="Q797" s="211"/>
    </row>
    <row r="798" spans="1:17" ht="175.5" customHeight="1" thickBot="1" x14ac:dyDescent="0.3">
      <c r="A798" s="93" t="s">
        <v>1470</v>
      </c>
      <c r="B798" s="94" t="s">
        <v>1471</v>
      </c>
      <c r="C798" s="61" t="s">
        <v>27</v>
      </c>
      <c r="D798" s="95">
        <v>43</v>
      </c>
      <c r="E798" s="95">
        <v>43</v>
      </c>
      <c r="F798" s="96"/>
      <c r="G798" s="79">
        <f>SUM(E798/D798)</f>
        <v>1</v>
      </c>
      <c r="H798" s="61" t="s">
        <v>1472</v>
      </c>
      <c r="I798" s="65" t="s">
        <v>464</v>
      </c>
      <c r="J798" s="66">
        <v>7</v>
      </c>
      <c r="K798" s="89">
        <v>7</v>
      </c>
      <c r="L798" s="68" t="s">
        <v>109</v>
      </c>
      <c r="M798" s="68" t="s">
        <v>15</v>
      </c>
      <c r="N798" s="68" t="s">
        <v>109</v>
      </c>
      <c r="O798" s="68" t="s">
        <v>15</v>
      </c>
      <c r="P798" s="61" t="s">
        <v>1473</v>
      </c>
      <c r="Q798" s="69" t="s">
        <v>1763</v>
      </c>
    </row>
    <row r="799" spans="1:17" ht="0.75" customHeight="1" thickBot="1" x14ac:dyDescent="0.3">
      <c r="A799" s="93" t="s">
        <v>1474</v>
      </c>
      <c r="B799" s="94" t="s">
        <v>1475</v>
      </c>
      <c r="C799" s="61"/>
      <c r="D799" s="95"/>
      <c r="E799" s="95"/>
      <c r="F799" s="96"/>
      <c r="G799" s="96"/>
      <c r="H799" s="61"/>
      <c r="I799" s="65"/>
      <c r="J799" s="98"/>
      <c r="K799" s="98"/>
      <c r="L799" s="68"/>
      <c r="M799" s="68"/>
      <c r="N799" s="68"/>
      <c r="O799" s="68"/>
      <c r="P799" s="61"/>
      <c r="Q799" s="69"/>
    </row>
    <row r="800" spans="1:17" ht="48" thickBot="1" x14ac:dyDescent="0.3">
      <c r="A800" s="53" t="s">
        <v>1476</v>
      </c>
      <c r="B800" s="54" t="s">
        <v>1477</v>
      </c>
      <c r="C800" s="55"/>
      <c r="D800" s="56">
        <f>D801+D803+D805+D808+D809</f>
        <v>345</v>
      </c>
      <c r="E800" s="56">
        <f>E801+E803+E805+E808+E809</f>
        <v>112</v>
      </c>
      <c r="F800" s="56">
        <f>F801+F803+F805+F808+F809</f>
        <v>233</v>
      </c>
      <c r="G800" s="57">
        <f>SUM(E800/D800)</f>
        <v>0.32463768115942027</v>
      </c>
      <c r="H800" s="55"/>
      <c r="I800" s="58"/>
      <c r="J800" s="59"/>
      <c r="K800" s="59"/>
      <c r="L800" s="60"/>
      <c r="M800" s="60"/>
      <c r="N800" s="60"/>
      <c r="O800" s="60"/>
      <c r="P800" s="210"/>
      <c r="Q800" s="211"/>
    </row>
    <row r="801" spans="1:17" ht="63" x14ac:dyDescent="0.25">
      <c r="A801" s="280" t="s">
        <v>1478</v>
      </c>
      <c r="B801" s="282" t="s">
        <v>1479</v>
      </c>
      <c r="C801" s="61"/>
      <c r="D801" s="62">
        <f>SUM(D802:D802)</f>
        <v>73.900000000000006</v>
      </c>
      <c r="E801" s="62">
        <f>SUM(E802:E802)</f>
        <v>51.8</v>
      </c>
      <c r="F801" s="63">
        <f>SUM(F802:F802)</f>
        <v>22.1</v>
      </c>
      <c r="G801" s="79">
        <f>SUM(E801/D801)</f>
        <v>0.70094722598105541</v>
      </c>
      <c r="H801" s="212" t="s">
        <v>1480</v>
      </c>
      <c r="I801" s="215" t="s">
        <v>19</v>
      </c>
      <c r="J801" s="218">
        <v>9</v>
      </c>
      <c r="K801" s="241">
        <v>11</v>
      </c>
      <c r="L801" s="68" t="s">
        <v>114</v>
      </c>
      <c r="M801" s="68" t="s">
        <v>15</v>
      </c>
      <c r="N801" s="68" t="s">
        <v>149</v>
      </c>
      <c r="O801" s="68" t="s">
        <v>15</v>
      </c>
      <c r="P801" s="212" t="s">
        <v>1765</v>
      </c>
      <c r="Q801" s="227" t="s">
        <v>1764</v>
      </c>
    </row>
    <row r="802" spans="1:17" ht="33.75" customHeight="1" thickBot="1" x14ac:dyDescent="0.3">
      <c r="A802" s="281"/>
      <c r="B802" s="283"/>
      <c r="C802" s="70" t="s">
        <v>175</v>
      </c>
      <c r="D802" s="71">
        <v>73.900000000000006</v>
      </c>
      <c r="E802" s="71">
        <v>51.8</v>
      </c>
      <c r="F802" s="72">
        <v>22.1</v>
      </c>
      <c r="G802" s="125">
        <f>SUM(E802/D802)</f>
        <v>0.70094722598105541</v>
      </c>
      <c r="H802" s="214"/>
      <c r="I802" s="217"/>
      <c r="J802" s="220"/>
      <c r="K802" s="242"/>
      <c r="L802" s="76"/>
      <c r="M802" s="76"/>
      <c r="N802" s="76"/>
      <c r="O802" s="76"/>
      <c r="P802" s="214"/>
      <c r="Q802" s="229"/>
    </row>
    <row r="803" spans="1:17" ht="61.5" customHeight="1" x14ac:dyDescent="0.25">
      <c r="A803" s="280" t="s">
        <v>1481</v>
      </c>
      <c r="B803" s="282" t="s">
        <v>1482</v>
      </c>
      <c r="C803" s="215" t="s">
        <v>27</v>
      </c>
      <c r="D803" s="232">
        <f>SUM(D804:D804)+30.5</f>
        <v>30.5</v>
      </c>
      <c r="E803" s="232">
        <f>SUM(E804:E804)+28</f>
        <v>28</v>
      </c>
      <c r="F803" s="235">
        <f>SUM(F804:F804)+2.5</f>
        <v>2.5</v>
      </c>
      <c r="G803" s="238">
        <f>SUM(E803/D803)</f>
        <v>0.91803278688524592</v>
      </c>
      <c r="H803" s="61" t="s">
        <v>1480</v>
      </c>
      <c r="I803" s="65" t="s">
        <v>19</v>
      </c>
      <c r="J803" s="66">
        <v>14</v>
      </c>
      <c r="K803" s="145">
        <v>12</v>
      </c>
      <c r="L803" s="68" t="s">
        <v>726</v>
      </c>
      <c r="M803" s="68" t="s">
        <v>15</v>
      </c>
      <c r="N803" s="68" t="s">
        <v>566</v>
      </c>
      <c r="O803" s="68" t="s">
        <v>15</v>
      </c>
      <c r="P803" s="61" t="s">
        <v>1766</v>
      </c>
      <c r="Q803" s="132" t="s">
        <v>1767</v>
      </c>
    </row>
    <row r="804" spans="1:17" ht="63.75" thickBot="1" x14ac:dyDescent="0.3">
      <c r="A804" s="281"/>
      <c r="B804" s="283"/>
      <c r="C804" s="217"/>
      <c r="D804" s="234"/>
      <c r="E804" s="234"/>
      <c r="F804" s="237"/>
      <c r="G804" s="240"/>
      <c r="H804" s="70" t="s">
        <v>1483</v>
      </c>
      <c r="I804" s="73" t="s">
        <v>19</v>
      </c>
      <c r="J804" s="74">
        <v>1</v>
      </c>
      <c r="K804" s="75">
        <v>0</v>
      </c>
      <c r="L804" s="76" t="s">
        <v>29</v>
      </c>
      <c r="M804" s="76" t="s">
        <v>15</v>
      </c>
      <c r="N804" s="76" t="s">
        <v>29</v>
      </c>
      <c r="O804" s="76" t="s">
        <v>15</v>
      </c>
      <c r="P804" s="70"/>
      <c r="Q804" s="77" t="s">
        <v>1717</v>
      </c>
    </row>
    <row r="805" spans="1:17" ht="60" customHeight="1" x14ac:dyDescent="0.25">
      <c r="A805" s="280" t="s">
        <v>1484</v>
      </c>
      <c r="B805" s="282" t="s">
        <v>1485</v>
      </c>
      <c r="C805" s="61"/>
      <c r="D805" s="62">
        <f>SUM(D806:D807)</f>
        <v>31.700000000000003</v>
      </c>
      <c r="E805" s="62">
        <f>SUM(E806:E807)</f>
        <v>7.3000000000000007</v>
      </c>
      <c r="F805" s="63">
        <f>SUM(F806:F807)</f>
        <v>24.4</v>
      </c>
      <c r="G805" s="79">
        <f>SUM(E805/D805)</f>
        <v>0.2302839116719243</v>
      </c>
      <c r="H805" s="212" t="s">
        <v>1486</v>
      </c>
      <c r="I805" s="215" t="s">
        <v>19</v>
      </c>
      <c r="J805" s="218">
        <v>5</v>
      </c>
      <c r="K805" s="221">
        <v>3</v>
      </c>
      <c r="L805" s="68" t="s">
        <v>58</v>
      </c>
      <c r="M805" s="68" t="s">
        <v>15</v>
      </c>
      <c r="N805" s="68"/>
      <c r="O805" s="68"/>
      <c r="P805" s="212" t="s">
        <v>1487</v>
      </c>
      <c r="Q805" s="262" t="s">
        <v>1768</v>
      </c>
    </row>
    <row r="806" spans="1:17" ht="36.75" customHeight="1" x14ac:dyDescent="0.25">
      <c r="A806" s="284"/>
      <c r="B806" s="324"/>
      <c r="C806" s="70" t="s">
        <v>27</v>
      </c>
      <c r="D806" s="71">
        <v>16.8</v>
      </c>
      <c r="E806" s="71">
        <v>0.4</v>
      </c>
      <c r="F806" s="72">
        <v>16.399999999999999</v>
      </c>
      <c r="G806" s="80">
        <f>SUM(E806/D806)</f>
        <v>2.3809523809523808E-2</v>
      </c>
      <c r="H806" s="213"/>
      <c r="I806" s="216"/>
      <c r="J806" s="219"/>
      <c r="K806" s="222"/>
      <c r="L806" s="76"/>
      <c r="M806" s="76"/>
      <c r="N806" s="76"/>
      <c r="O806" s="76"/>
      <c r="P806" s="213"/>
      <c r="Q806" s="264"/>
    </row>
    <row r="807" spans="1:17" ht="22.5" customHeight="1" thickBot="1" x14ac:dyDescent="0.3">
      <c r="A807" s="281"/>
      <c r="B807" s="283"/>
      <c r="C807" s="70" t="s">
        <v>37</v>
      </c>
      <c r="D807" s="71">
        <v>14.9</v>
      </c>
      <c r="E807" s="71">
        <v>6.9</v>
      </c>
      <c r="F807" s="72">
        <v>8</v>
      </c>
      <c r="G807" s="91">
        <f>SUM(E807/D807)</f>
        <v>0.46308724832214765</v>
      </c>
      <c r="H807" s="214"/>
      <c r="I807" s="217"/>
      <c r="J807" s="220"/>
      <c r="K807" s="223"/>
      <c r="L807" s="76"/>
      <c r="M807" s="76"/>
      <c r="N807" s="76"/>
      <c r="O807" s="76"/>
      <c r="P807" s="214"/>
      <c r="Q807" s="263"/>
    </row>
    <row r="808" spans="1:17" ht="219" customHeight="1" thickBot="1" x14ac:dyDescent="0.3">
      <c r="A808" s="93" t="s">
        <v>1488</v>
      </c>
      <c r="B808" s="94" t="s">
        <v>1489</v>
      </c>
      <c r="C808" s="61" t="s">
        <v>27</v>
      </c>
      <c r="D808" s="95">
        <v>200</v>
      </c>
      <c r="E808" s="95">
        <v>16</v>
      </c>
      <c r="F808" s="96">
        <v>184</v>
      </c>
      <c r="G808" s="79">
        <f>SUM(E808/D808)</f>
        <v>0.08</v>
      </c>
      <c r="H808" s="61" t="s">
        <v>1480</v>
      </c>
      <c r="I808" s="65" t="s">
        <v>19</v>
      </c>
      <c r="J808" s="66">
        <v>2</v>
      </c>
      <c r="K808" s="89">
        <v>2</v>
      </c>
      <c r="L808" s="68" t="s">
        <v>42</v>
      </c>
      <c r="M808" s="68" t="s">
        <v>15</v>
      </c>
      <c r="N808" s="68" t="s">
        <v>42</v>
      </c>
      <c r="O808" s="68" t="s">
        <v>15</v>
      </c>
      <c r="P808" s="146" t="s">
        <v>1584</v>
      </c>
      <c r="Q808" s="69" t="s">
        <v>1816</v>
      </c>
    </row>
    <row r="809" spans="1:17" ht="128.25" customHeight="1" x14ac:dyDescent="0.25">
      <c r="A809" s="280" t="s">
        <v>1490</v>
      </c>
      <c r="B809" s="282" t="s">
        <v>1410</v>
      </c>
      <c r="C809" s="215" t="s">
        <v>27</v>
      </c>
      <c r="D809" s="232">
        <f>SUM(D810:D811)+8.9</f>
        <v>8.9</v>
      </c>
      <c r="E809" s="232">
        <f>SUM(E810:E811)+8.9</f>
        <v>8.9</v>
      </c>
      <c r="F809" s="235"/>
      <c r="G809" s="238">
        <f>SUM(E809/D809)</f>
        <v>1</v>
      </c>
      <c r="H809" s="61" t="s">
        <v>1480</v>
      </c>
      <c r="I809" s="65" t="s">
        <v>19</v>
      </c>
      <c r="J809" s="66">
        <v>5</v>
      </c>
      <c r="K809" s="89">
        <v>5</v>
      </c>
      <c r="L809" s="68" t="s">
        <v>97</v>
      </c>
      <c r="M809" s="68" t="s">
        <v>15</v>
      </c>
      <c r="N809" s="68" t="s">
        <v>113</v>
      </c>
      <c r="O809" s="68" t="s">
        <v>15</v>
      </c>
      <c r="P809" s="146" t="s">
        <v>1769</v>
      </c>
      <c r="Q809" s="69"/>
    </row>
    <row r="810" spans="1:17" ht="63" x14ac:dyDescent="0.25">
      <c r="A810" s="284"/>
      <c r="B810" s="324"/>
      <c r="C810" s="216"/>
      <c r="D810" s="233"/>
      <c r="E810" s="233"/>
      <c r="F810" s="236"/>
      <c r="G810" s="239"/>
      <c r="H810" s="70" t="s">
        <v>1491</v>
      </c>
      <c r="I810" s="73" t="s">
        <v>464</v>
      </c>
      <c r="J810" s="74">
        <v>800</v>
      </c>
      <c r="K810" s="110">
        <v>686</v>
      </c>
      <c r="L810" s="76" t="s">
        <v>1130</v>
      </c>
      <c r="M810" s="76" t="s">
        <v>15</v>
      </c>
      <c r="N810" s="76" t="s">
        <v>785</v>
      </c>
      <c r="O810" s="76" t="s">
        <v>15</v>
      </c>
      <c r="P810" s="83" t="s">
        <v>1770</v>
      </c>
      <c r="Q810" s="84"/>
    </row>
    <row r="811" spans="1:17" ht="95.25" customHeight="1" thickBot="1" x14ac:dyDescent="0.3">
      <c r="A811" s="281"/>
      <c r="B811" s="283"/>
      <c r="C811" s="217"/>
      <c r="D811" s="234"/>
      <c r="E811" s="234"/>
      <c r="F811" s="237"/>
      <c r="G811" s="240"/>
      <c r="H811" s="70" t="s">
        <v>1492</v>
      </c>
      <c r="I811" s="73" t="s">
        <v>14</v>
      </c>
      <c r="J811" s="74">
        <v>0.4</v>
      </c>
      <c r="K811" s="111">
        <v>4.3</v>
      </c>
      <c r="L811" s="76" t="s">
        <v>1493</v>
      </c>
      <c r="M811" s="76" t="s">
        <v>15</v>
      </c>
      <c r="N811" s="76" t="s">
        <v>1494</v>
      </c>
      <c r="O811" s="76" t="s">
        <v>15</v>
      </c>
      <c r="P811" s="83" t="s">
        <v>1771</v>
      </c>
      <c r="Q811" s="84"/>
    </row>
    <row r="812" spans="1:17" ht="63.75" thickBot="1" x14ac:dyDescent="0.3">
      <c r="A812" s="45" t="s">
        <v>1495</v>
      </c>
      <c r="B812" s="46" t="s">
        <v>1496</v>
      </c>
      <c r="C812" s="47"/>
      <c r="D812" s="48">
        <f>D813+D823</f>
        <v>11954.000000000002</v>
      </c>
      <c r="E812" s="48">
        <f>E813+E823</f>
        <v>11875.8</v>
      </c>
      <c r="F812" s="48">
        <f>F813+F823</f>
        <v>78.2</v>
      </c>
      <c r="G812" s="49">
        <f t="shared" ref="G812:G817" si="44">SUM(E812/D812)</f>
        <v>0.99345825665049337</v>
      </c>
      <c r="H812" s="47" t="s">
        <v>1497</v>
      </c>
      <c r="I812" s="50" t="s">
        <v>14</v>
      </c>
      <c r="J812" s="51">
        <v>100</v>
      </c>
      <c r="K812" s="51">
        <v>100</v>
      </c>
      <c r="L812" s="52" t="s">
        <v>54</v>
      </c>
      <c r="M812" s="52" t="s">
        <v>15</v>
      </c>
      <c r="N812" s="52" t="s">
        <v>54</v>
      </c>
      <c r="O812" s="52" t="s">
        <v>15</v>
      </c>
      <c r="P812" s="230"/>
      <c r="Q812" s="231"/>
    </row>
    <row r="813" spans="1:17" ht="48" thickBot="1" x14ac:dyDescent="0.3">
      <c r="A813" s="53" t="s">
        <v>1498</v>
      </c>
      <c r="B813" s="54" t="s">
        <v>1499</v>
      </c>
      <c r="C813" s="55"/>
      <c r="D813" s="56">
        <f>D814+D817+D818+D819</f>
        <v>11893.900000000001</v>
      </c>
      <c r="E813" s="56">
        <f>E814+E817+E818+E819-0.1</f>
        <v>11865.699999999999</v>
      </c>
      <c r="F813" s="56">
        <f>F814+F817+F818+F819</f>
        <v>28.200000000000003</v>
      </c>
      <c r="G813" s="57">
        <f t="shared" si="44"/>
        <v>0.99762903673311509</v>
      </c>
      <c r="H813" s="55"/>
      <c r="I813" s="58"/>
      <c r="J813" s="59"/>
      <c r="K813" s="59"/>
      <c r="L813" s="60"/>
      <c r="M813" s="60"/>
      <c r="N813" s="60"/>
      <c r="O813" s="60"/>
      <c r="P813" s="210"/>
      <c r="Q813" s="211"/>
    </row>
    <row r="814" spans="1:17" ht="63" x14ac:dyDescent="0.25">
      <c r="A814" s="280" t="s">
        <v>1500</v>
      </c>
      <c r="B814" s="282" t="s">
        <v>1501</v>
      </c>
      <c r="C814" s="61"/>
      <c r="D814" s="62">
        <f>SUM(D815:D816)</f>
        <v>9017.7000000000007</v>
      </c>
      <c r="E814" s="62">
        <f>SUM(E815:E816)</f>
        <v>9002.2999999999993</v>
      </c>
      <c r="F814" s="63">
        <f>SUM(F815:F816)</f>
        <v>15.4</v>
      </c>
      <c r="G814" s="79">
        <f t="shared" si="44"/>
        <v>0.99829224746886658</v>
      </c>
      <c r="H814" s="61" t="s">
        <v>1502</v>
      </c>
      <c r="I814" s="65" t="s">
        <v>19</v>
      </c>
      <c r="J814" s="66">
        <v>9</v>
      </c>
      <c r="K814" s="145">
        <v>7</v>
      </c>
      <c r="L814" s="68" t="s">
        <v>110</v>
      </c>
      <c r="M814" s="68" t="s">
        <v>15</v>
      </c>
      <c r="N814" s="68" t="s">
        <v>110</v>
      </c>
      <c r="O814" s="68" t="s">
        <v>15</v>
      </c>
      <c r="P814" s="146" t="s">
        <v>1585</v>
      </c>
      <c r="Q814" s="90"/>
    </row>
    <row r="815" spans="1:17" ht="38.25" customHeight="1" x14ac:dyDescent="0.25">
      <c r="A815" s="284"/>
      <c r="B815" s="324"/>
      <c r="C815" s="70" t="s">
        <v>27</v>
      </c>
      <c r="D815" s="71">
        <v>5501.3</v>
      </c>
      <c r="E815" s="71">
        <v>5485.9</v>
      </c>
      <c r="F815" s="72">
        <v>15.4</v>
      </c>
      <c r="G815" s="80">
        <f t="shared" si="44"/>
        <v>0.99720066166178889</v>
      </c>
      <c r="H815" s="246" t="s">
        <v>1503</v>
      </c>
      <c r="I815" s="247" t="s">
        <v>14</v>
      </c>
      <c r="J815" s="248">
        <v>100</v>
      </c>
      <c r="K815" s="249">
        <v>100</v>
      </c>
      <c r="L815" s="76" t="s">
        <v>54</v>
      </c>
      <c r="M815" s="76" t="s">
        <v>15</v>
      </c>
      <c r="N815" s="76" t="s">
        <v>54</v>
      </c>
      <c r="O815" s="76" t="s">
        <v>15</v>
      </c>
      <c r="P815" s="246" t="s">
        <v>1586</v>
      </c>
      <c r="Q815" s="402"/>
    </row>
    <row r="816" spans="1:17" ht="28.5" customHeight="1" thickBot="1" x14ac:dyDescent="0.3">
      <c r="A816" s="281"/>
      <c r="B816" s="283"/>
      <c r="C816" s="70" t="s">
        <v>175</v>
      </c>
      <c r="D816" s="71">
        <v>3516.4</v>
      </c>
      <c r="E816" s="71">
        <v>3516.4</v>
      </c>
      <c r="F816" s="72"/>
      <c r="G816" s="91">
        <f t="shared" si="44"/>
        <v>1</v>
      </c>
      <c r="H816" s="214"/>
      <c r="I816" s="217"/>
      <c r="J816" s="220"/>
      <c r="K816" s="245"/>
      <c r="L816" s="76"/>
      <c r="M816" s="76"/>
      <c r="N816" s="76"/>
      <c r="O816" s="76"/>
      <c r="P816" s="214"/>
      <c r="Q816" s="226"/>
    </row>
    <row r="817" spans="1:17" ht="130.5" customHeight="1" thickBot="1" x14ac:dyDescent="0.3">
      <c r="A817" s="93" t="s">
        <v>1504</v>
      </c>
      <c r="B817" s="94" t="s">
        <v>1505</v>
      </c>
      <c r="C817" s="61" t="s">
        <v>27</v>
      </c>
      <c r="D817" s="95">
        <v>165</v>
      </c>
      <c r="E817" s="95">
        <v>161.30000000000001</v>
      </c>
      <c r="F817" s="96">
        <v>3.7</v>
      </c>
      <c r="G817" s="79">
        <f t="shared" si="44"/>
        <v>0.97757575757575765</v>
      </c>
      <c r="H817" s="61" t="s">
        <v>1506</v>
      </c>
      <c r="I817" s="65" t="s">
        <v>14</v>
      </c>
      <c r="J817" s="66">
        <v>100</v>
      </c>
      <c r="K817" s="89">
        <v>100</v>
      </c>
      <c r="L817" s="68" t="s">
        <v>54</v>
      </c>
      <c r="M817" s="68" t="s">
        <v>15</v>
      </c>
      <c r="N817" s="68" t="s">
        <v>54</v>
      </c>
      <c r="O817" s="68" t="s">
        <v>15</v>
      </c>
      <c r="P817" s="61" t="s">
        <v>1870</v>
      </c>
      <c r="Q817" s="90"/>
    </row>
    <row r="818" spans="1:17" ht="158.25" hidden="1" thickBot="1" x14ac:dyDescent="0.3">
      <c r="A818" s="93" t="s">
        <v>1507</v>
      </c>
      <c r="B818" s="94" t="s">
        <v>1508</v>
      </c>
      <c r="C818" s="61" t="s">
        <v>27</v>
      </c>
      <c r="D818" s="95"/>
      <c r="E818" s="95"/>
      <c r="F818" s="96"/>
      <c r="G818" s="96"/>
      <c r="H818" s="61"/>
      <c r="I818" s="65"/>
      <c r="J818" s="98"/>
      <c r="K818" s="98"/>
      <c r="L818" s="68"/>
      <c r="M818" s="68"/>
      <c r="N818" s="68"/>
      <c r="O818" s="68"/>
      <c r="P818" s="61"/>
      <c r="Q818" s="69"/>
    </row>
    <row r="819" spans="1:17" ht="69" customHeight="1" x14ac:dyDescent="0.25">
      <c r="A819" s="280" t="s">
        <v>1509</v>
      </c>
      <c r="B819" s="282" t="s">
        <v>1510</v>
      </c>
      <c r="C819" s="61"/>
      <c r="D819" s="62">
        <f>SUM(D820:D822)</f>
        <v>2711.2000000000003</v>
      </c>
      <c r="E819" s="62">
        <f>SUM(E820:E822)+0.1</f>
        <v>2702.2</v>
      </c>
      <c r="F819" s="63">
        <f>SUM(F820:F822)</f>
        <v>9.1</v>
      </c>
      <c r="G819" s="79">
        <f t="shared" ref="G819:G826" si="45">SUM(E819/D819)</f>
        <v>0.99668043670699302</v>
      </c>
      <c r="H819" s="212" t="s">
        <v>1303</v>
      </c>
      <c r="I819" s="215" t="s">
        <v>14</v>
      </c>
      <c r="J819" s="218">
        <v>100</v>
      </c>
      <c r="K819" s="243">
        <v>100</v>
      </c>
      <c r="L819" s="68" t="s">
        <v>54</v>
      </c>
      <c r="M819" s="68" t="s">
        <v>15</v>
      </c>
      <c r="N819" s="68" t="s">
        <v>54</v>
      </c>
      <c r="O819" s="68" t="s">
        <v>15</v>
      </c>
      <c r="P819" s="212" t="s">
        <v>1511</v>
      </c>
      <c r="Q819" s="227" t="s">
        <v>1772</v>
      </c>
    </row>
    <row r="820" spans="1:17" ht="15.75" x14ac:dyDescent="0.25">
      <c r="A820" s="284"/>
      <c r="B820" s="324"/>
      <c r="C820" s="70" t="s">
        <v>37</v>
      </c>
      <c r="D820" s="71">
        <v>689.3</v>
      </c>
      <c r="E820" s="71">
        <v>689.3</v>
      </c>
      <c r="F820" s="72"/>
      <c r="G820" s="80">
        <f t="shared" si="45"/>
        <v>1</v>
      </c>
      <c r="H820" s="213"/>
      <c r="I820" s="216"/>
      <c r="J820" s="219"/>
      <c r="K820" s="244"/>
      <c r="L820" s="76"/>
      <c r="M820" s="76"/>
      <c r="N820" s="76"/>
      <c r="O820" s="76"/>
      <c r="P820" s="213"/>
      <c r="Q820" s="228"/>
    </row>
    <row r="821" spans="1:17" ht="15.75" x14ac:dyDescent="0.25">
      <c r="A821" s="284"/>
      <c r="B821" s="324"/>
      <c r="C821" s="70" t="s">
        <v>27</v>
      </c>
      <c r="D821" s="71">
        <v>1698</v>
      </c>
      <c r="E821" s="71">
        <v>1688.9</v>
      </c>
      <c r="F821" s="72">
        <v>9.1</v>
      </c>
      <c r="G821" s="80">
        <f t="shared" si="45"/>
        <v>0.99464075382803308</v>
      </c>
      <c r="H821" s="213"/>
      <c r="I821" s="216"/>
      <c r="J821" s="219"/>
      <c r="K821" s="244"/>
      <c r="L821" s="76"/>
      <c r="M821" s="76"/>
      <c r="N821" s="76"/>
      <c r="O821" s="76"/>
      <c r="P821" s="213"/>
      <c r="Q821" s="228"/>
    </row>
    <row r="822" spans="1:17" ht="16.5" thickBot="1" x14ac:dyDescent="0.3">
      <c r="A822" s="281"/>
      <c r="B822" s="283"/>
      <c r="C822" s="70" t="s">
        <v>175</v>
      </c>
      <c r="D822" s="71">
        <v>323.89999999999998</v>
      </c>
      <c r="E822" s="71">
        <v>323.89999999999998</v>
      </c>
      <c r="F822" s="72"/>
      <c r="G822" s="91">
        <f t="shared" si="45"/>
        <v>1</v>
      </c>
      <c r="H822" s="214"/>
      <c r="I822" s="217"/>
      <c r="J822" s="220"/>
      <c r="K822" s="245"/>
      <c r="L822" s="76"/>
      <c r="M822" s="76"/>
      <c r="N822" s="76"/>
      <c r="O822" s="76"/>
      <c r="P822" s="214"/>
      <c r="Q822" s="229"/>
    </row>
    <row r="823" spans="1:17" ht="63.75" thickBot="1" x14ac:dyDescent="0.3">
      <c r="A823" s="53" t="s">
        <v>1512</v>
      </c>
      <c r="B823" s="54" t="s">
        <v>1513</v>
      </c>
      <c r="C823" s="55"/>
      <c r="D823" s="56">
        <f>SUM(D824:D824)</f>
        <v>60.1</v>
      </c>
      <c r="E823" s="56">
        <f>SUM(E824:E824)</f>
        <v>10.1</v>
      </c>
      <c r="F823" s="56">
        <f>SUM(F824:F824)</f>
        <v>50</v>
      </c>
      <c r="G823" s="57">
        <f t="shared" si="45"/>
        <v>0.16805324459234608</v>
      </c>
      <c r="H823" s="55"/>
      <c r="I823" s="58"/>
      <c r="J823" s="59"/>
      <c r="K823" s="59"/>
      <c r="L823" s="60"/>
      <c r="M823" s="60"/>
      <c r="N823" s="60"/>
      <c r="O823" s="60"/>
      <c r="P823" s="210"/>
      <c r="Q823" s="211"/>
    </row>
    <row r="824" spans="1:17" ht="75" customHeight="1" x14ac:dyDescent="0.25">
      <c r="A824" s="280" t="s">
        <v>1514</v>
      </c>
      <c r="B824" s="282" t="s">
        <v>1515</v>
      </c>
      <c r="C824" s="61"/>
      <c r="D824" s="62">
        <f>SUM(D825:D826)</f>
        <v>60.1</v>
      </c>
      <c r="E824" s="62">
        <f>SUM(E825:E826)</f>
        <v>10.1</v>
      </c>
      <c r="F824" s="63">
        <f>SUM(F825:F826)</f>
        <v>50</v>
      </c>
      <c r="G824" s="79">
        <f t="shared" si="45"/>
        <v>0.16805324459234608</v>
      </c>
      <c r="H824" s="212" t="s">
        <v>1516</v>
      </c>
      <c r="I824" s="215" t="s">
        <v>14</v>
      </c>
      <c r="J824" s="218">
        <v>100</v>
      </c>
      <c r="K824" s="243">
        <v>100</v>
      </c>
      <c r="L824" s="68" t="s">
        <v>54</v>
      </c>
      <c r="M824" s="68" t="s">
        <v>15</v>
      </c>
      <c r="N824" s="68" t="s">
        <v>54</v>
      </c>
      <c r="O824" s="68" t="s">
        <v>15</v>
      </c>
      <c r="P824" s="212" t="s">
        <v>1550</v>
      </c>
      <c r="Q824" s="224"/>
    </row>
    <row r="825" spans="1:17" ht="15.75" x14ac:dyDescent="0.25">
      <c r="A825" s="284"/>
      <c r="B825" s="324"/>
      <c r="C825" s="70" t="s">
        <v>27</v>
      </c>
      <c r="D825" s="71">
        <v>50</v>
      </c>
      <c r="E825" s="71"/>
      <c r="F825" s="72">
        <v>50</v>
      </c>
      <c r="G825" s="80">
        <f t="shared" si="45"/>
        <v>0</v>
      </c>
      <c r="H825" s="213"/>
      <c r="I825" s="216"/>
      <c r="J825" s="219"/>
      <c r="K825" s="244"/>
      <c r="L825" s="76"/>
      <c r="M825" s="76"/>
      <c r="N825" s="76"/>
      <c r="O825" s="76"/>
      <c r="P825" s="213"/>
      <c r="Q825" s="225"/>
    </row>
    <row r="826" spans="1:17" ht="16.5" thickBot="1" x14ac:dyDescent="0.3">
      <c r="A826" s="281"/>
      <c r="B826" s="283"/>
      <c r="C826" s="181" t="s">
        <v>175</v>
      </c>
      <c r="D826" s="182">
        <v>10.1</v>
      </c>
      <c r="E826" s="182">
        <v>10.1</v>
      </c>
      <c r="F826" s="183"/>
      <c r="G826" s="184">
        <f t="shared" si="45"/>
        <v>1</v>
      </c>
      <c r="H826" s="214"/>
      <c r="I826" s="217"/>
      <c r="J826" s="220"/>
      <c r="K826" s="245"/>
      <c r="L826" s="185"/>
      <c r="M826" s="185"/>
      <c r="N826" s="185"/>
      <c r="O826" s="185"/>
      <c r="P826" s="214"/>
      <c r="Q826" s="226"/>
    </row>
    <row r="827" spans="1:17" s="1" customFormat="1" ht="15.75" x14ac:dyDescent="0.25">
      <c r="A827" s="186"/>
      <c r="B827" s="186"/>
      <c r="C827" s="187"/>
      <c r="D827" s="188"/>
      <c r="E827" s="188"/>
      <c r="F827" s="188"/>
      <c r="G827" s="188"/>
      <c r="H827" s="187"/>
      <c r="I827" s="189"/>
      <c r="J827" s="190"/>
      <c r="K827" s="190"/>
      <c r="L827" s="191"/>
      <c r="M827" s="191"/>
      <c r="N827" s="191"/>
      <c r="O827" s="191"/>
      <c r="P827" s="187"/>
      <c r="Q827" s="187"/>
    </row>
    <row r="828" spans="1:17" s="1" customFormat="1" ht="15.75" x14ac:dyDescent="0.25">
      <c r="A828" s="186"/>
      <c r="B828" s="186"/>
      <c r="C828" s="187"/>
      <c r="D828" s="188"/>
      <c r="E828" s="188"/>
      <c r="F828" s="188"/>
      <c r="G828" s="188"/>
      <c r="H828" s="187"/>
      <c r="I828" s="189"/>
      <c r="J828" s="190"/>
      <c r="K828" s="190"/>
      <c r="L828" s="191"/>
      <c r="M828" s="191"/>
      <c r="N828" s="191"/>
      <c r="O828" s="191"/>
      <c r="P828" s="187"/>
      <c r="Q828" s="187"/>
    </row>
    <row r="829" spans="1:17" s="1" customFormat="1" ht="15.75" x14ac:dyDescent="0.25">
      <c r="A829" s="186"/>
      <c r="B829" s="186"/>
      <c r="C829" s="187"/>
      <c r="D829" s="188"/>
      <c r="E829" s="188"/>
      <c r="F829" s="188"/>
      <c r="G829" s="188"/>
      <c r="H829" s="187"/>
      <c r="I829" s="189"/>
      <c r="J829" s="190"/>
      <c r="K829" s="190"/>
      <c r="L829" s="191"/>
      <c r="M829" s="191"/>
      <c r="N829" s="191"/>
      <c r="O829" s="191"/>
      <c r="P829" s="187"/>
      <c r="Q829" s="187"/>
    </row>
    <row r="830" spans="1:17" s="1" customFormat="1" ht="15.75" x14ac:dyDescent="0.25">
      <c r="A830" s="186"/>
      <c r="B830" s="186"/>
      <c r="C830" s="187"/>
      <c r="D830" s="188"/>
      <c r="E830" s="188"/>
      <c r="F830" s="188"/>
      <c r="G830" s="188"/>
      <c r="H830" s="187"/>
      <c r="I830" s="189"/>
      <c r="J830" s="190"/>
      <c r="K830" s="190"/>
      <c r="L830" s="191"/>
      <c r="M830" s="191"/>
      <c r="N830" s="191"/>
      <c r="O830" s="191"/>
      <c r="P830" s="187"/>
      <c r="Q830" s="187"/>
    </row>
    <row r="831" spans="1:17" s="1" customFormat="1" ht="15.75" x14ac:dyDescent="0.25">
      <c r="A831" s="186"/>
      <c r="B831" s="186"/>
      <c r="C831" s="187"/>
      <c r="D831" s="188"/>
      <c r="E831" s="188"/>
      <c r="F831" s="188"/>
      <c r="G831" s="188"/>
      <c r="H831" s="187"/>
      <c r="I831" s="189"/>
      <c r="J831" s="190"/>
      <c r="K831" s="190"/>
      <c r="L831" s="191"/>
      <c r="M831" s="191"/>
      <c r="N831" s="191"/>
      <c r="O831" s="191"/>
      <c r="P831" s="187"/>
      <c r="Q831" s="187"/>
    </row>
    <row r="832" spans="1:17" s="2" customFormat="1" ht="27.75" customHeight="1" x14ac:dyDescent="0.25">
      <c r="A832" s="373" t="s">
        <v>0</v>
      </c>
      <c r="B832" s="373" t="s">
        <v>1</v>
      </c>
      <c r="C832" s="374" t="s">
        <v>1828</v>
      </c>
      <c r="D832" s="374" t="s">
        <v>1831</v>
      </c>
      <c r="E832" s="374" t="s">
        <v>1830</v>
      </c>
      <c r="F832" s="205"/>
      <c r="G832" s="192"/>
      <c r="H832" s="193"/>
      <c r="I832" s="192"/>
      <c r="J832" s="192"/>
      <c r="K832" s="192"/>
      <c r="L832" s="194"/>
      <c r="M832" s="194"/>
      <c r="N832" s="194"/>
      <c r="O832" s="194"/>
      <c r="P832" s="193"/>
      <c r="Q832" s="193"/>
    </row>
    <row r="833" spans="1:17" s="2" customFormat="1" ht="58.5" customHeight="1" x14ac:dyDescent="0.25">
      <c r="A833" s="373"/>
      <c r="B833" s="373"/>
      <c r="C833" s="375"/>
      <c r="D833" s="375"/>
      <c r="E833" s="375"/>
      <c r="F833" s="206"/>
      <c r="G833" s="192"/>
      <c r="H833" s="193"/>
      <c r="I833" s="192"/>
      <c r="J833" s="192"/>
      <c r="K833" s="192"/>
      <c r="L833" s="194"/>
      <c r="M833" s="194"/>
      <c r="N833" s="194"/>
      <c r="O833" s="194"/>
      <c r="P833" s="193"/>
      <c r="Q833" s="193"/>
    </row>
    <row r="834" spans="1:17" ht="47.25" x14ac:dyDescent="0.25">
      <c r="A834" s="195" t="s">
        <v>1517</v>
      </c>
      <c r="B834" s="195" t="s">
        <v>1518</v>
      </c>
      <c r="C834" s="196">
        <f>SUM(C835:C846)-0.1</f>
        <v>186382.6</v>
      </c>
      <c r="D834" s="197">
        <f>SUM(D835:D846)</f>
        <v>169653.1</v>
      </c>
      <c r="E834" s="197">
        <f>SUM(E835:E846)+0.1</f>
        <v>16729.499999999996</v>
      </c>
      <c r="F834" s="207"/>
      <c r="G834" s="33"/>
      <c r="H834" s="34"/>
      <c r="I834" s="33"/>
      <c r="J834" s="33"/>
      <c r="K834" s="33"/>
      <c r="L834" s="32"/>
      <c r="M834" s="32"/>
      <c r="N834" s="32"/>
      <c r="O834" s="32"/>
      <c r="P834" s="34"/>
      <c r="Q834" s="34"/>
    </row>
    <row r="835" spans="1:17" ht="31.5" x14ac:dyDescent="0.25">
      <c r="A835" s="100" t="s">
        <v>27</v>
      </c>
      <c r="B835" s="100" t="s">
        <v>1519</v>
      </c>
      <c r="C835" s="198">
        <v>74683</v>
      </c>
      <c r="D835" s="72">
        <v>70056.899999999994</v>
      </c>
      <c r="E835" s="72">
        <v>4626.1000000000004</v>
      </c>
      <c r="F835" s="188"/>
      <c r="G835" s="33"/>
      <c r="H835" s="34"/>
      <c r="I835" s="33"/>
      <c r="J835" s="33"/>
      <c r="K835" s="33"/>
      <c r="L835" s="32"/>
      <c r="M835" s="32"/>
      <c r="N835" s="32"/>
      <c r="O835" s="32"/>
      <c r="P835" s="34"/>
      <c r="Q835" s="34"/>
    </row>
    <row r="836" spans="1:17" ht="15.75" x14ac:dyDescent="0.25">
      <c r="A836" s="100" t="s">
        <v>426</v>
      </c>
      <c r="B836" s="100" t="s">
        <v>1520</v>
      </c>
      <c r="C836" s="198">
        <v>5883.3</v>
      </c>
      <c r="D836" s="72">
        <v>5883.3</v>
      </c>
      <c r="E836" s="72"/>
      <c r="F836" s="188"/>
      <c r="G836" s="33"/>
      <c r="H836" s="34"/>
      <c r="I836" s="33"/>
      <c r="J836" s="33"/>
      <c r="K836" s="33"/>
      <c r="L836" s="32"/>
      <c r="M836" s="32"/>
      <c r="N836" s="32"/>
      <c r="O836" s="32"/>
      <c r="P836" s="34"/>
      <c r="Q836" s="34"/>
    </row>
    <row r="837" spans="1:17" ht="31.5" x14ac:dyDescent="0.25">
      <c r="A837" s="100" t="s">
        <v>855</v>
      </c>
      <c r="B837" s="100" t="s">
        <v>1521</v>
      </c>
      <c r="C837" s="198">
        <v>37754.6</v>
      </c>
      <c r="D837" s="72">
        <v>37708.9</v>
      </c>
      <c r="E837" s="72">
        <v>45.7</v>
      </c>
      <c r="F837" s="188"/>
      <c r="G837" s="33"/>
      <c r="H837" s="34"/>
      <c r="I837" s="33"/>
      <c r="J837" s="33"/>
      <c r="K837" s="33"/>
      <c r="L837" s="32"/>
      <c r="M837" s="32"/>
      <c r="N837" s="32"/>
      <c r="O837" s="32"/>
      <c r="P837" s="34"/>
      <c r="Q837" s="34"/>
    </row>
    <row r="838" spans="1:17" ht="31.5" x14ac:dyDescent="0.25">
      <c r="A838" s="100" t="s">
        <v>1071</v>
      </c>
      <c r="B838" s="100" t="s">
        <v>1522</v>
      </c>
      <c r="C838" s="198">
        <v>6011.1</v>
      </c>
      <c r="D838" s="72">
        <v>5774.6</v>
      </c>
      <c r="E838" s="72">
        <v>236.5</v>
      </c>
      <c r="F838" s="188"/>
      <c r="G838" s="33"/>
      <c r="H838" s="34"/>
      <c r="I838" s="33"/>
      <c r="J838" s="33"/>
      <c r="K838" s="33"/>
      <c r="L838" s="32"/>
      <c r="M838" s="32"/>
      <c r="N838" s="32"/>
      <c r="O838" s="32"/>
      <c r="P838" s="34"/>
      <c r="Q838" s="34"/>
    </row>
    <row r="839" spans="1:17" ht="31.5" x14ac:dyDescent="0.25">
      <c r="A839" s="100" t="s">
        <v>175</v>
      </c>
      <c r="B839" s="100" t="s">
        <v>1523</v>
      </c>
      <c r="C839" s="198">
        <v>23058.9</v>
      </c>
      <c r="D839" s="72">
        <v>20705.400000000001</v>
      </c>
      <c r="E839" s="72">
        <v>2353.4</v>
      </c>
      <c r="F839" s="188"/>
      <c r="G839" s="33"/>
      <c r="H839" s="34"/>
      <c r="I839" s="33"/>
      <c r="J839" s="33"/>
      <c r="K839" s="33"/>
      <c r="L839" s="32"/>
      <c r="M839" s="32"/>
      <c r="N839" s="32"/>
      <c r="O839" s="32"/>
      <c r="P839" s="34"/>
      <c r="Q839" s="34"/>
    </row>
    <row r="840" spans="1:17" ht="47.25" x14ac:dyDescent="0.25">
      <c r="A840" s="100" t="s">
        <v>403</v>
      </c>
      <c r="B840" s="100" t="s">
        <v>1524</v>
      </c>
      <c r="C840" s="198">
        <v>3838</v>
      </c>
      <c r="D840" s="72">
        <v>3838</v>
      </c>
      <c r="E840" s="72"/>
      <c r="F840" s="188"/>
      <c r="G840" s="33"/>
      <c r="H840" s="34"/>
      <c r="I840" s="33"/>
      <c r="J840" s="33"/>
      <c r="K840" s="33"/>
      <c r="L840" s="32"/>
      <c r="M840" s="32"/>
      <c r="N840" s="32"/>
      <c r="O840" s="32"/>
      <c r="P840" s="34"/>
      <c r="Q840" s="34"/>
    </row>
    <row r="841" spans="1:17" ht="47.25" x14ac:dyDescent="0.25">
      <c r="A841" s="100" t="s">
        <v>946</v>
      </c>
      <c r="B841" s="100" t="s">
        <v>1525</v>
      </c>
      <c r="C841" s="198">
        <v>666</v>
      </c>
      <c r="D841" s="72">
        <v>666</v>
      </c>
      <c r="E841" s="72"/>
      <c r="F841" s="188"/>
      <c r="G841" s="33"/>
      <c r="H841" s="34"/>
      <c r="I841" s="33"/>
      <c r="J841" s="33"/>
      <c r="K841" s="33"/>
      <c r="L841" s="32"/>
      <c r="M841" s="32"/>
      <c r="N841" s="32"/>
      <c r="O841" s="32"/>
      <c r="P841" s="34"/>
      <c r="Q841" s="34"/>
    </row>
    <row r="842" spans="1:17" ht="31.5" x14ac:dyDescent="0.25">
      <c r="A842" s="100" t="s">
        <v>229</v>
      </c>
      <c r="B842" s="100" t="s">
        <v>1526</v>
      </c>
      <c r="C842" s="198">
        <v>13142.6</v>
      </c>
      <c r="D842" s="72">
        <v>7822.8</v>
      </c>
      <c r="E842" s="72">
        <v>5319.8</v>
      </c>
      <c r="F842" s="188"/>
      <c r="G842" s="33"/>
      <c r="H842" s="34"/>
      <c r="I842" s="33"/>
      <c r="J842" s="33"/>
      <c r="K842" s="33"/>
      <c r="L842" s="32"/>
      <c r="M842" s="32"/>
      <c r="N842" s="32"/>
      <c r="O842" s="32"/>
      <c r="P842" s="34"/>
      <c r="Q842" s="34"/>
    </row>
    <row r="843" spans="1:17" ht="31.5" x14ac:dyDescent="0.25">
      <c r="A843" s="100" t="s">
        <v>169</v>
      </c>
      <c r="B843" s="100" t="s">
        <v>1527</v>
      </c>
      <c r="C843" s="198">
        <v>4835.2</v>
      </c>
      <c r="D843" s="72">
        <v>3577.1</v>
      </c>
      <c r="E843" s="72">
        <v>1258.0999999999999</v>
      </c>
      <c r="F843" s="188"/>
      <c r="G843" s="33"/>
      <c r="H843" s="34"/>
      <c r="I843" s="33"/>
      <c r="J843" s="33"/>
      <c r="K843" s="33"/>
      <c r="L843" s="32"/>
      <c r="M843" s="32"/>
      <c r="N843" s="32"/>
      <c r="O843" s="32"/>
      <c r="P843" s="34"/>
      <c r="Q843" s="34"/>
    </row>
    <row r="844" spans="1:17" ht="63" x14ac:dyDescent="0.25">
      <c r="A844" s="100" t="s">
        <v>37</v>
      </c>
      <c r="B844" s="100" t="s">
        <v>1528</v>
      </c>
      <c r="C844" s="198">
        <v>16062.6</v>
      </c>
      <c r="D844" s="72">
        <v>13339.1</v>
      </c>
      <c r="E844" s="72">
        <v>2723.5</v>
      </c>
      <c r="F844" s="188"/>
      <c r="G844" s="33"/>
      <c r="H844" s="34"/>
      <c r="I844" s="33"/>
      <c r="J844" s="33"/>
      <c r="K844" s="33"/>
      <c r="L844" s="32"/>
      <c r="M844" s="32"/>
      <c r="N844" s="32"/>
      <c r="O844" s="32"/>
      <c r="P844" s="34"/>
      <c r="Q844" s="34"/>
    </row>
    <row r="845" spans="1:17" ht="63" x14ac:dyDescent="0.25">
      <c r="A845" s="100" t="s">
        <v>269</v>
      </c>
      <c r="B845" s="100" t="s">
        <v>1529</v>
      </c>
      <c r="C845" s="198">
        <v>260</v>
      </c>
      <c r="D845" s="72">
        <v>215</v>
      </c>
      <c r="E845" s="72">
        <v>45</v>
      </c>
      <c r="F845" s="188"/>
      <c r="G845" s="33"/>
      <c r="H845" s="34"/>
      <c r="I845" s="33"/>
      <c r="J845" s="33"/>
      <c r="K845" s="33"/>
      <c r="L845" s="32"/>
      <c r="M845" s="32"/>
      <c r="N845" s="32"/>
      <c r="O845" s="32"/>
      <c r="P845" s="34"/>
      <c r="Q845" s="34"/>
    </row>
    <row r="846" spans="1:17" ht="78.75" x14ac:dyDescent="0.25">
      <c r="A846" s="100" t="s">
        <v>302</v>
      </c>
      <c r="B846" s="100" t="s">
        <v>1530</v>
      </c>
      <c r="C846" s="198">
        <v>187.4</v>
      </c>
      <c r="D846" s="72">
        <v>66</v>
      </c>
      <c r="E846" s="72">
        <v>121.3</v>
      </c>
      <c r="F846" s="188"/>
      <c r="G846" s="33"/>
      <c r="H846" s="34"/>
      <c r="I846" s="33"/>
      <c r="J846" s="33"/>
      <c r="K846" s="33"/>
      <c r="L846" s="32"/>
      <c r="M846" s="32"/>
      <c r="N846" s="32"/>
      <c r="O846" s="32"/>
      <c r="P846" s="34"/>
      <c r="Q846" s="34"/>
    </row>
    <row r="847" spans="1:17" ht="31.5" x14ac:dyDescent="0.25">
      <c r="A847" s="195" t="s">
        <v>1531</v>
      </c>
      <c r="B847" s="195" t="s">
        <v>1532</v>
      </c>
      <c r="C847" s="196">
        <f>SUM(C848:C850)-0.1</f>
        <v>32669.200000000001</v>
      </c>
      <c r="D847" s="197">
        <f>SUM(D848:D850)</f>
        <v>29197</v>
      </c>
      <c r="E847" s="197">
        <f>SUM(E848:E850)-0.1</f>
        <v>3472.2000000000003</v>
      </c>
      <c r="F847" s="207"/>
      <c r="G847" s="33"/>
      <c r="H847" s="34"/>
      <c r="I847" s="33"/>
      <c r="J847" s="33"/>
      <c r="K847" s="33"/>
      <c r="L847" s="32"/>
      <c r="M847" s="32"/>
      <c r="N847" s="32"/>
      <c r="O847" s="32"/>
      <c r="P847" s="34"/>
      <c r="Q847" s="34"/>
    </row>
    <row r="848" spans="1:17" ht="31.5" x14ac:dyDescent="0.25">
      <c r="A848" s="100" t="s">
        <v>160</v>
      </c>
      <c r="B848" s="100" t="s">
        <v>1533</v>
      </c>
      <c r="C848" s="198">
        <v>27610</v>
      </c>
      <c r="D848" s="72">
        <v>26562.1</v>
      </c>
      <c r="E848" s="72">
        <v>1047.9000000000001</v>
      </c>
      <c r="F848" s="208"/>
      <c r="G848" s="33"/>
      <c r="H848" s="34"/>
      <c r="I848" s="33"/>
      <c r="J848" s="33"/>
      <c r="K848" s="33"/>
      <c r="L848" s="32"/>
      <c r="M848" s="32"/>
      <c r="N848" s="32"/>
      <c r="O848" s="32"/>
      <c r="P848" s="34"/>
      <c r="Q848" s="34"/>
    </row>
    <row r="849" spans="1:17" ht="31.5" x14ac:dyDescent="0.25">
      <c r="A849" s="100" t="s">
        <v>204</v>
      </c>
      <c r="B849" s="100" t="s">
        <v>1534</v>
      </c>
      <c r="C849" s="198">
        <v>3514.6</v>
      </c>
      <c r="D849" s="72">
        <v>1570</v>
      </c>
      <c r="E849" s="72">
        <v>1944.6</v>
      </c>
      <c r="F849" s="208"/>
      <c r="G849" s="33"/>
      <c r="H849" s="34"/>
      <c r="I849" s="33"/>
      <c r="J849" s="33"/>
      <c r="K849" s="33"/>
      <c r="L849" s="32"/>
      <c r="M849" s="32"/>
      <c r="N849" s="32"/>
      <c r="O849" s="32"/>
      <c r="P849" s="34"/>
      <c r="Q849" s="34"/>
    </row>
    <row r="850" spans="1:17" ht="31.5" x14ac:dyDescent="0.25">
      <c r="A850" s="100" t="s">
        <v>165</v>
      </c>
      <c r="B850" s="100" t="s">
        <v>1535</v>
      </c>
      <c r="C850" s="198">
        <v>1544.7</v>
      </c>
      <c r="D850" s="72">
        <v>1064.9000000000001</v>
      </c>
      <c r="E850" s="72">
        <v>479.8</v>
      </c>
      <c r="F850" s="208"/>
      <c r="G850" s="33"/>
      <c r="H850" s="34"/>
      <c r="I850" s="33"/>
      <c r="J850" s="33"/>
      <c r="K850" s="33"/>
      <c r="L850" s="32"/>
      <c r="M850" s="32"/>
      <c r="N850" s="32"/>
      <c r="O850" s="32"/>
      <c r="P850" s="34"/>
      <c r="Q850" s="34"/>
    </row>
    <row r="851" spans="1:17" ht="23.25" customHeight="1" x14ac:dyDescent="0.25">
      <c r="A851" s="199"/>
      <c r="B851" s="199" t="s">
        <v>1536</v>
      </c>
      <c r="C851" s="200">
        <f>C834+C847</f>
        <v>219051.80000000002</v>
      </c>
      <c r="D851" s="201">
        <f>D834+D847</f>
        <v>198850.1</v>
      </c>
      <c r="E851" s="201">
        <f>E834+E847</f>
        <v>20201.699999999997</v>
      </c>
      <c r="F851" s="209"/>
      <c r="G851" s="33"/>
      <c r="H851" s="34"/>
      <c r="I851" s="33"/>
      <c r="J851" s="33"/>
      <c r="K851" s="33"/>
      <c r="L851" s="32"/>
      <c r="M851" s="32"/>
      <c r="N851" s="32"/>
      <c r="O851" s="32"/>
      <c r="P851" s="34"/>
      <c r="Q851" s="34"/>
    </row>
    <row r="852" spans="1:17" ht="15.75" x14ac:dyDescent="0.25">
      <c r="A852" s="32"/>
      <c r="B852" s="32"/>
      <c r="C852" s="32"/>
      <c r="D852" s="33"/>
      <c r="E852" s="33"/>
      <c r="F852" s="33"/>
      <c r="G852" s="33"/>
      <c r="H852" s="34"/>
      <c r="I852" s="33"/>
      <c r="J852" s="33"/>
      <c r="K852" s="33"/>
      <c r="L852" s="32"/>
      <c r="M852" s="32"/>
      <c r="N852" s="32"/>
      <c r="O852" s="32"/>
      <c r="P852" s="34"/>
      <c r="Q852" s="34"/>
    </row>
    <row r="853" spans="1:17" ht="15.75" x14ac:dyDescent="0.25">
      <c r="A853" s="32"/>
      <c r="B853" s="32"/>
      <c r="C853" s="32"/>
      <c r="D853" s="33"/>
      <c r="E853" s="33"/>
      <c r="F853" s="33"/>
      <c r="G853" s="33"/>
      <c r="H853" s="34"/>
      <c r="I853" s="33"/>
      <c r="J853" s="33"/>
      <c r="K853" s="33"/>
      <c r="L853" s="32"/>
      <c r="M853" s="32"/>
      <c r="N853" s="32"/>
      <c r="O853" s="32"/>
      <c r="P853" s="34"/>
      <c r="Q853" s="34"/>
    </row>
    <row r="854" spans="1:17" ht="15.75" x14ac:dyDescent="0.25">
      <c r="A854" s="32"/>
      <c r="B854" s="32"/>
      <c r="C854" s="32"/>
      <c r="D854" s="33"/>
      <c r="E854" s="33"/>
      <c r="F854" s="33"/>
      <c r="G854" s="33"/>
      <c r="H854" s="34"/>
      <c r="I854" s="33"/>
      <c r="J854" s="33"/>
      <c r="K854" s="33"/>
      <c r="L854" s="32"/>
      <c r="M854" s="32"/>
      <c r="N854" s="32"/>
      <c r="O854" s="32"/>
      <c r="P854" s="34"/>
      <c r="Q854" s="34"/>
    </row>
    <row r="855" spans="1:17" ht="15.75" x14ac:dyDescent="0.25">
      <c r="A855" s="32"/>
      <c r="B855" s="32"/>
      <c r="C855" s="32"/>
      <c r="D855" s="33"/>
      <c r="E855" s="33"/>
      <c r="F855" s="33"/>
      <c r="G855" s="33"/>
      <c r="H855" s="34"/>
      <c r="I855" s="33"/>
      <c r="J855" s="33"/>
      <c r="K855" s="33"/>
      <c r="L855" s="32"/>
      <c r="M855" s="32"/>
      <c r="N855" s="32"/>
      <c r="O855" s="32"/>
      <c r="P855" s="34"/>
      <c r="Q855" s="34"/>
    </row>
    <row r="856" spans="1:17" ht="15.75" x14ac:dyDescent="0.25">
      <c r="A856" s="32"/>
      <c r="B856" s="32"/>
      <c r="C856" s="32"/>
      <c r="D856" s="33"/>
      <c r="E856" s="33"/>
      <c r="F856" s="33"/>
      <c r="G856" s="33"/>
      <c r="H856" s="34"/>
      <c r="I856" s="33"/>
      <c r="J856" s="33"/>
      <c r="K856" s="33"/>
      <c r="L856" s="32"/>
      <c r="M856" s="32"/>
      <c r="N856" s="32"/>
      <c r="O856" s="32"/>
      <c r="P856" s="34"/>
      <c r="Q856" s="34"/>
    </row>
    <row r="857" spans="1:17" ht="15.75" x14ac:dyDescent="0.25">
      <c r="A857" s="32"/>
      <c r="B857" s="32"/>
      <c r="C857" s="32"/>
      <c r="D857" s="33"/>
      <c r="E857" s="33"/>
      <c r="F857" s="33"/>
      <c r="G857" s="33"/>
      <c r="H857" s="34"/>
      <c r="I857" s="33"/>
      <c r="J857" s="33"/>
      <c r="K857" s="33"/>
      <c r="L857" s="32"/>
      <c r="M857" s="32"/>
      <c r="N857" s="32"/>
      <c r="O857" s="32"/>
      <c r="P857" s="34"/>
      <c r="Q857" s="34"/>
    </row>
    <row r="858" spans="1:17" ht="15.75" x14ac:dyDescent="0.25">
      <c r="A858" s="32"/>
      <c r="B858" s="32"/>
      <c r="C858" s="32"/>
      <c r="D858" s="33"/>
      <c r="E858" s="33"/>
      <c r="F858" s="33"/>
      <c r="G858" s="33"/>
      <c r="H858" s="34"/>
      <c r="I858" s="33"/>
      <c r="J858" s="33"/>
      <c r="K858" s="33"/>
      <c r="L858" s="32"/>
      <c r="M858" s="32"/>
      <c r="N858" s="32"/>
      <c r="O858" s="32"/>
      <c r="P858" s="34"/>
      <c r="Q858" s="34"/>
    </row>
    <row r="859" spans="1:17" ht="15.75" x14ac:dyDescent="0.25">
      <c r="A859" s="32"/>
      <c r="B859" s="32"/>
      <c r="C859" s="32"/>
      <c r="D859" s="33"/>
      <c r="E859" s="33"/>
      <c r="F859" s="33"/>
      <c r="G859" s="33"/>
      <c r="H859" s="34"/>
      <c r="I859" s="33"/>
      <c r="J859" s="33"/>
      <c r="K859" s="33"/>
      <c r="L859" s="32"/>
      <c r="M859" s="32"/>
      <c r="N859" s="32"/>
      <c r="O859" s="32"/>
      <c r="P859" s="34"/>
      <c r="Q859" s="34"/>
    </row>
  </sheetData>
  <mergeCells count="1166">
    <mergeCell ref="P786:P789"/>
    <mergeCell ref="Q786:Q789"/>
    <mergeCell ref="P720:Q720"/>
    <mergeCell ref="P721:Q721"/>
    <mergeCell ref="P609:P610"/>
    <mergeCell ref="Q609:Q610"/>
    <mergeCell ref="P587:Q587"/>
    <mergeCell ref="P589:Q589"/>
    <mergeCell ref="P590:Q590"/>
    <mergeCell ref="P604:Q604"/>
    <mergeCell ref="C832:C833"/>
    <mergeCell ref="E832:E833"/>
    <mergeCell ref="P613:P614"/>
    <mergeCell ref="Q613:Q614"/>
    <mergeCell ref="P664:P665"/>
    <mergeCell ref="Q664:Q665"/>
    <mergeCell ref="P681:P682"/>
    <mergeCell ref="Q681:Q682"/>
    <mergeCell ref="P713:P714"/>
    <mergeCell ref="Q713:Q714"/>
    <mergeCell ref="P815:P816"/>
    <mergeCell ref="Q815:Q816"/>
    <mergeCell ref="Q616:Q624"/>
    <mergeCell ref="P628:P636"/>
    <mergeCell ref="Q628:Q636"/>
    <mergeCell ref="P637:P644"/>
    <mergeCell ref="Q637:Q644"/>
    <mergeCell ref="P615:Q615"/>
    <mergeCell ref="P690:Q690"/>
    <mergeCell ref="P694:Q694"/>
    <mergeCell ref="P699:Q699"/>
    <mergeCell ref="P702:Q702"/>
    <mergeCell ref="P705:Q705"/>
    <mergeCell ref="P710:Q710"/>
    <mergeCell ref="P712:Q712"/>
    <mergeCell ref="P616:P624"/>
    <mergeCell ref="P187:Q187"/>
    <mergeCell ref="P206:Q206"/>
    <mergeCell ref="Q212:Q216"/>
    <mergeCell ref="Q239:Q243"/>
    <mergeCell ref="P249:P252"/>
    <mergeCell ref="Q249:Q252"/>
    <mergeCell ref="Q159:Q160"/>
    <mergeCell ref="P298:Q298"/>
    <mergeCell ref="P299:Q300"/>
    <mergeCell ref="P306:Q306"/>
    <mergeCell ref="P309:Q311"/>
    <mergeCell ref="P316:Q316"/>
    <mergeCell ref="Q347:Q349"/>
    <mergeCell ref="P392:P393"/>
    <mergeCell ref="Q392:Q393"/>
    <mergeCell ref="P384:P386"/>
    <mergeCell ref="Q384:Q386"/>
    <mergeCell ref="P350:Q350"/>
    <mergeCell ref="P352:Q352"/>
    <mergeCell ref="P353:Q355"/>
    <mergeCell ref="P374:Q374"/>
    <mergeCell ref="P381:Q382"/>
    <mergeCell ref="P288:P290"/>
    <mergeCell ref="P737:Q737"/>
    <mergeCell ref="P738:Q738"/>
    <mergeCell ref="P746:Q746"/>
    <mergeCell ref="P761:Q761"/>
    <mergeCell ref="P420:Q420"/>
    <mergeCell ref="P439:Q439"/>
    <mergeCell ref="Q106:Q108"/>
    <mergeCell ref="P124:P126"/>
    <mergeCell ref="P155:P158"/>
    <mergeCell ref="Q155:Q158"/>
    <mergeCell ref="P159:P160"/>
    <mergeCell ref="P255:P258"/>
    <mergeCell ref="Q255:Q258"/>
    <mergeCell ref="P259:P262"/>
    <mergeCell ref="Q259:Q262"/>
    <mergeCell ref="P263:P265"/>
    <mergeCell ref="Q263:Q265"/>
    <mergeCell ref="P253:Q253"/>
    <mergeCell ref="P254:Q254"/>
    <mergeCell ref="Q288:Q290"/>
    <mergeCell ref="P326:P330"/>
    <mergeCell ref="Q326:Q330"/>
    <mergeCell ref="Q333:Q334"/>
    <mergeCell ref="Q145:Q147"/>
    <mergeCell ref="P218:P222"/>
    <mergeCell ref="Q218:Q222"/>
    <mergeCell ref="P223:P228"/>
    <mergeCell ref="P645:P647"/>
    <mergeCell ref="Q645:Q647"/>
    <mergeCell ref="P653:P656"/>
    <mergeCell ref="Q653:Q656"/>
    <mergeCell ref="P148:Q148"/>
    <mergeCell ref="P735:P736"/>
    <mergeCell ref="Q735:Q736"/>
    <mergeCell ref="Q223:Q228"/>
    <mergeCell ref="P230:P234"/>
    <mergeCell ref="Q230:Q234"/>
    <mergeCell ref="P235:P237"/>
    <mergeCell ref="Q235:Q237"/>
    <mergeCell ref="P394:P395"/>
    <mergeCell ref="Q394:Q395"/>
    <mergeCell ref="P396:P397"/>
    <mergeCell ref="Q396:Q397"/>
    <mergeCell ref="P418:P419"/>
    <mergeCell ref="Q418:Q419"/>
    <mergeCell ref="P406:Q406"/>
    <mergeCell ref="P407:Q408"/>
    <mergeCell ref="P511:P514"/>
    <mergeCell ref="Q511:Q514"/>
    <mergeCell ref="P734:Q734"/>
    <mergeCell ref="P524:P527"/>
    <mergeCell ref="Q524:Q527"/>
    <mergeCell ref="P528:P532"/>
    <mergeCell ref="Q528:Q532"/>
    <mergeCell ref="Q533:Q535"/>
    <mergeCell ref="P541:P542"/>
    <mergeCell ref="Q541:Q542"/>
    <mergeCell ref="P546:P549"/>
    <mergeCell ref="Q546:Q549"/>
    <mergeCell ref="P561:P562"/>
    <mergeCell ref="Q561:Q562"/>
    <mergeCell ref="P563:P566"/>
    <mergeCell ref="Q563:Q566"/>
    <mergeCell ref="P554:Q554"/>
    <mergeCell ref="R367:S367"/>
    <mergeCell ref="P460:P462"/>
    <mergeCell ref="H460:H462"/>
    <mergeCell ref="B55:B56"/>
    <mergeCell ref="Q98:Q101"/>
    <mergeCell ref="Q128:Q129"/>
    <mergeCell ref="P161:P162"/>
    <mergeCell ref="Q161:Q162"/>
    <mergeCell ref="P163:P164"/>
    <mergeCell ref="Q163:Q164"/>
    <mergeCell ref="P166:P167"/>
    <mergeCell ref="Q166:Q167"/>
    <mergeCell ref="P168:P169"/>
    <mergeCell ref="Q168:Q169"/>
    <mergeCell ref="P173:P174"/>
    <mergeCell ref="Q173:Q174"/>
    <mergeCell ref="P176:P177"/>
    <mergeCell ref="Q176:Q177"/>
    <mergeCell ref="Q133:Q135"/>
    <mergeCell ref="Q136:Q138"/>
    <mergeCell ref="P273:P278"/>
    <mergeCell ref="Q460:Q462"/>
    <mergeCell ref="Q335:Q337"/>
    <mergeCell ref="P266:P268"/>
    <mergeCell ref="Q266:Q268"/>
    <mergeCell ref="P269:P271"/>
    <mergeCell ref="Q269:Q271"/>
    <mergeCell ref="P282:P283"/>
    <mergeCell ref="Q282:Q283"/>
    <mergeCell ref="P279:P281"/>
    <mergeCell ref="Q279:Q281"/>
    <mergeCell ref="P284:P287"/>
    <mergeCell ref="A217:A222"/>
    <mergeCell ref="B217:B222"/>
    <mergeCell ref="A223:A228"/>
    <mergeCell ref="B223:B228"/>
    <mergeCell ref="A229:A234"/>
    <mergeCell ref="B229:B234"/>
    <mergeCell ref="A200:A202"/>
    <mergeCell ref="B200:B202"/>
    <mergeCell ref="A207:A210"/>
    <mergeCell ref="B207:B210"/>
    <mergeCell ref="A211:A216"/>
    <mergeCell ref="B211:B216"/>
    <mergeCell ref="A299:A300"/>
    <mergeCell ref="B299:B300"/>
    <mergeCell ref="Q29:Q31"/>
    <mergeCell ref="H29:H31"/>
    <mergeCell ref="I29:I31"/>
    <mergeCell ref="J29:J31"/>
    <mergeCell ref="K29:K31"/>
    <mergeCell ref="P136:P138"/>
    <mergeCell ref="P141:P143"/>
    <mergeCell ref="Q141:Q143"/>
    <mergeCell ref="H141:H143"/>
    <mergeCell ref="P150:P152"/>
    <mergeCell ref="Q150:Q152"/>
    <mergeCell ref="Q273:Q278"/>
    <mergeCell ref="P292:P295"/>
    <mergeCell ref="Q81:Q82"/>
    <mergeCell ref="P83:P86"/>
    <mergeCell ref="P90:P91"/>
    <mergeCell ref="H128:H129"/>
    <mergeCell ref="P128:P129"/>
    <mergeCell ref="A166:A167"/>
    <mergeCell ref="B166:B167"/>
    <mergeCell ref="A168:A169"/>
    <mergeCell ref="B168:B169"/>
    <mergeCell ref="A170:A172"/>
    <mergeCell ref="B170:B172"/>
    <mergeCell ref="A159:A160"/>
    <mergeCell ref="B159:B160"/>
    <mergeCell ref="A161:A162"/>
    <mergeCell ref="B161:B162"/>
    <mergeCell ref="A163:A164"/>
    <mergeCell ref="B163:B164"/>
    <mergeCell ref="A188:A192"/>
    <mergeCell ref="B188:B192"/>
    <mergeCell ref="A195:A196"/>
    <mergeCell ref="B195:B196"/>
    <mergeCell ref="A197:A199"/>
    <mergeCell ref="B197:B199"/>
    <mergeCell ref="A173:A174"/>
    <mergeCell ref="B173:B174"/>
    <mergeCell ref="A176:A177"/>
    <mergeCell ref="B176:B177"/>
    <mergeCell ref="A182:A184"/>
    <mergeCell ref="B182:B184"/>
    <mergeCell ref="A124:A126"/>
    <mergeCell ref="B124:B126"/>
    <mergeCell ref="A128:A129"/>
    <mergeCell ref="B128:B129"/>
    <mergeCell ref="A130:A131"/>
    <mergeCell ref="B130:B131"/>
    <mergeCell ref="A116:A118"/>
    <mergeCell ref="B116:B118"/>
    <mergeCell ref="A119:A121"/>
    <mergeCell ref="B119:B121"/>
    <mergeCell ref="A122:A123"/>
    <mergeCell ref="B122:B123"/>
    <mergeCell ref="A145:A147"/>
    <mergeCell ref="B145:B147"/>
    <mergeCell ref="A149:A152"/>
    <mergeCell ref="B149:B152"/>
    <mergeCell ref="A154:A158"/>
    <mergeCell ref="B154:B158"/>
    <mergeCell ref="A132:A135"/>
    <mergeCell ref="B132:B135"/>
    <mergeCell ref="A136:A138"/>
    <mergeCell ref="B136:B138"/>
    <mergeCell ref="A141:A143"/>
    <mergeCell ref="B141:B143"/>
    <mergeCell ref="A83:A86"/>
    <mergeCell ref="B83:B86"/>
    <mergeCell ref="A60:A61"/>
    <mergeCell ref="B60:B61"/>
    <mergeCell ref="A62:A67"/>
    <mergeCell ref="B62:B67"/>
    <mergeCell ref="A103:A105"/>
    <mergeCell ref="B103:B105"/>
    <mergeCell ref="A106:A108"/>
    <mergeCell ref="B106:B108"/>
    <mergeCell ref="A109:A110"/>
    <mergeCell ref="B109:B110"/>
    <mergeCell ref="A90:A91"/>
    <mergeCell ref="B90:B91"/>
    <mergeCell ref="A92:A94"/>
    <mergeCell ref="B92:B94"/>
    <mergeCell ref="A98:A101"/>
    <mergeCell ref="B98:B101"/>
    <mergeCell ref="P11:P12"/>
    <mergeCell ref="H11:H12"/>
    <mergeCell ref="I11:I12"/>
    <mergeCell ref="J11:K11"/>
    <mergeCell ref="P29:P31"/>
    <mergeCell ref="P27:P28"/>
    <mergeCell ref="P13:Q13"/>
    <mergeCell ref="P14:Q14"/>
    <mergeCell ref="P15:Q15"/>
    <mergeCell ref="H27:H28"/>
    <mergeCell ref="I27:I28"/>
    <mergeCell ref="J27:J28"/>
    <mergeCell ref="K27:K28"/>
    <mergeCell ref="P33:Q33"/>
    <mergeCell ref="P38:Q38"/>
    <mergeCell ref="P39:Q39"/>
    <mergeCell ref="A69:A78"/>
    <mergeCell ref="B69:B78"/>
    <mergeCell ref="Q11:Q12"/>
    <mergeCell ref="P57:Q57"/>
    <mergeCell ref="D10:D12"/>
    <mergeCell ref="F10:F12"/>
    <mergeCell ref="H10:Q10"/>
    <mergeCell ref="A34:A36"/>
    <mergeCell ref="B34:B36"/>
    <mergeCell ref="A51:A53"/>
    <mergeCell ref="B51:B53"/>
    <mergeCell ref="L11:M11"/>
    <mergeCell ref="N11:O11"/>
    <mergeCell ref="A832:A833"/>
    <mergeCell ref="B832:B833"/>
    <mergeCell ref="D832:D833"/>
    <mergeCell ref="G10:G12"/>
    <mergeCell ref="A16:A18"/>
    <mergeCell ref="B16:B18"/>
    <mergeCell ref="A19:A25"/>
    <mergeCell ref="B19:B25"/>
    <mergeCell ref="A26:A28"/>
    <mergeCell ref="B26:B28"/>
    <mergeCell ref="A10:A12"/>
    <mergeCell ref="B10:B12"/>
    <mergeCell ref="C10:C12"/>
    <mergeCell ref="E10:E12"/>
    <mergeCell ref="A266:A268"/>
    <mergeCell ref="B266:B268"/>
    <mergeCell ref="A269:A271"/>
    <mergeCell ref="B269:B271"/>
    <mergeCell ref="A272:A278"/>
    <mergeCell ref="B272:B278"/>
    <mergeCell ref="A303:A305"/>
    <mergeCell ref="B303:B305"/>
    <mergeCell ref="A307:A308"/>
    <mergeCell ref="B307:B308"/>
    <mergeCell ref="A313:A315"/>
    <mergeCell ref="B313:B315"/>
    <mergeCell ref="A317:A324"/>
    <mergeCell ref="B317:B324"/>
    <mergeCell ref="A81:A82"/>
    <mergeCell ref="B81:B82"/>
    <mergeCell ref="A29:A31"/>
    <mergeCell ref="B29:B31"/>
    <mergeCell ref="A259:A262"/>
    <mergeCell ref="B259:B262"/>
    <mergeCell ref="A263:A265"/>
    <mergeCell ref="B263:B265"/>
    <mergeCell ref="A235:A237"/>
    <mergeCell ref="B235:B237"/>
    <mergeCell ref="A238:A243"/>
    <mergeCell ref="B238:B243"/>
    <mergeCell ref="A244:A247"/>
    <mergeCell ref="B244:B247"/>
    <mergeCell ref="A249:A252"/>
    <mergeCell ref="B249:B252"/>
    <mergeCell ref="A255:A258"/>
    <mergeCell ref="B255:B258"/>
    <mergeCell ref="Q27:Q28"/>
    <mergeCell ref="P130:P131"/>
    <mergeCell ref="Q130:Q131"/>
    <mergeCell ref="P200:P202"/>
    <mergeCell ref="Q200:Q202"/>
    <mergeCell ref="P32:Q32"/>
    <mergeCell ref="P103:P105"/>
    <mergeCell ref="P106:P108"/>
    <mergeCell ref="P145:P147"/>
    <mergeCell ref="P239:P243"/>
    <mergeCell ref="P111:Q111"/>
    <mergeCell ref="P113:Q113"/>
    <mergeCell ref="P114:Q114"/>
    <mergeCell ref="P115:Q115"/>
    <mergeCell ref="P68:Q68"/>
    <mergeCell ref="P79:Q79"/>
    <mergeCell ref="P80:Q80"/>
    <mergeCell ref="H81:H82"/>
    <mergeCell ref="A326:A330"/>
    <mergeCell ref="B326:B330"/>
    <mergeCell ref="A309:A311"/>
    <mergeCell ref="B309:B311"/>
    <mergeCell ref="A279:A281"/>
    <mergeCell ref="B279:B281"/>
    <mergeCell ref="A282:A283"/>
    <mergeCell ref="B282:B283"/>
    <mergeCell ref="A284:A287"/>
    <mergeCell ref="B284:B287"/>
    <mergeCell ref="A288:A290"/>
    <mergeCell ref="B288:B290"/>
    <mergeCell ref="A292:A295"/>
    <mergeCell ref="B292:B295"/>
    <mergeCell ref="A367:A369"/>
    <mergeCell ref="B367:B369"/>
    <mergeCell ref="A372:A373"/>
    <mergeCell ref="B372:B373"/>
    <mergeCell ref="A375:A380"/>
    <mergeCell ref="B375:B380"/>
    <mergeCell ref="A384:A386"/>
    <mergeCell ref="B384:B386"/>
    <mergeCell ref="A392:A393"/>
    <mergeCell ref="B392:B393"/>
    <mergeCell ref="A381:A382"/>
    <mergeCell ref="B381:B382"/>
    <mergeCell ref="A332:A334"/>
    <mergeCell ref="B332:B334"/>
    <mergeCell ref="A335:A337"/>
    <mergeCell ref="B335:B337"/>
    <mergeCell ref="A347:A349"/>
    <mergeCell ref="B347:B349"/>
    <mergeCell ref="A357:A362"/>
    <mergeCell ref="B357:B362"/>
    <mergeCell ref="A363:A366"/>
    <mergeCell ref="B363:B366"/>
    <mergeCell ref="A353:A355"/>
    <mergeCell ref="B353:B355"/>
    <mergeCell ref="A426:A437"/>
    <mergeCell ref="B426:B437"/>
    <mergeCell ref="A440:A451"/>
    <mergeCell ref="B440:B451"/>
    <mergeCell ref="A452:A454"/>
    <mergeCell ref="B452:B454"/>
    <mergeCell ref="A456:A459"/>
    <mergeCell ref="B456:B459"/>
    <mergeCell ref="A460:A462"/>
    <mergeCell ref="B460:B462"/>
    <mergeCell ref="A394:A395"/>
    <mergeCell ref="B394:B395"/>
    <mergeCell ref="A396:A397"/>
    <mergeCell ref="B396:B397"/>
    <mergeCell ref="A410:A416"/>
    <mergeCell ref="B410:B416"/>
    <mergeCell ref="A417:A419"/>
    <mergeCell ref="B417:B419"/>
    <mergeCell ref="A421:A424"/>
    <mergeCell ref="B421:B424"/>
    <mergeCell ref="A400:A401"/>
    <mergeCell ref="B400:B401"/>
    <mergeCell ref="A407:A408"/>
    <mergeCell ref="B407:B408"/>
    <mergeCell ref="A555:A560"/>
    <mergeCell ref="B555:B560"/>
    <mergeCell ref="A506:A510"/>
    <mergeCell ref="B506:B510"/>
    <mergeCell ref="A511:A514"/>
    <mergeCell ref="B511:B514"/>
    <mergeCell ref="A517:A521"/>
    <mergeCell ref="B517:B521"/>
    <mergeCell ref="A524:A527"/>
    <mergeCell ref="B524:B527"/>
    <mergeCell ref="A528:A532"/>
    <mergeCell ref="B528:B532"/>
    <mergeCell ref="A464:A467"/>
    <mergeCell ref="B464:B467"/>
    <mergeCell ref="A470:A478"/>
    <mergeCell ref="B470:B478"/>
    <mergeCell ref="A482:A490"/>
    <mergeCell ref="B482:B490"/>
    <mergeCell ref="A491:A493"/>
    <mergeCell ref="B491:B493"/>
    <mergeCell ref="A502:A504"/>
    <mergeCell ref="B502:B504"/>
    <mergeCell ref="A579:A583"/>
    <mergeCell ref="B579:B583"/>
    <mergeCell ref="A584:A586"/>
    <mergeCell ref="B584:B586"/>
    <mergeCell ref="A591:A594"/>
    <mergeCell ref="B591:B594"/>
    <mergeCell ref="A595:A596"/>
    <mergeCell ref="B595:B596"/>
    <mergeCell ref="A597:A600"/>
    <mergeCell ref="B597:B600"/>
    <mergeCell ref="A561:A562"/>
    <mergeCell ref="B561:B562"/>
    <mergeCell ref="A563:A566"/>
    <mergeCell ref="B563:B566"/>
    <mergeCell ref="A568:A569"/>
    <mergeCell ref="B568:B569"/>
    <mergeCell ref="A571:A575"/>
    <mergeCell ref="B571:B575"/>
    <mergeCell ref="A576:A578"/>
    <mergeCell ref="B576:B578"/>
    <mergeCell ref="A628:A636"/>
    <mergeCell ref="B628:B636"/>
    <mergeCell ref="A637:A644"/>
    <mergeCell ref="B637:B644"/>
    <mergeCell ref="A645:A647"/>
    <mergeCell ref="B645:B647"/>
    <mergeCell ref="A648:A652"/>
    <mergeCell ref="B648:B652"/>
    <mergeCell ref="A653:A656"/>
    <mergeCell ref="B653:B656"/>
    <mergeCell ref="A601:A603"/>
    <mergeCell ref="B601:B603"/>
    <mergeCell ref="A609:A610"/>
    <mergeCell ref="B609:B610"/>
    <mergeCell ref="A612:A614"/>
    <mergeCell ref="B612:B614"/>
    <mergeCell ref="A616:A624"/>
    <mergeCell ref="B616:B624"/>
    <mergeCell ref="A625:A627"/>
    <mergeCell ref="B625:B627"/>
    <mergeCell ref="A605:A607"/>
    <mergeCell ref="B605:B607"/>
    <mergeCell ref="A685:A688"/>
    <mergeCell ref="B685:B688"/>
    <mergeCell ref="A691:A693"/>
    <mergeCell ref="B691:B693"/>
    <mergeCell ref="A695:A698"/>
    <mergeCell ref="B695:B698"/>
    <mergeCell ref="A713:A714"/>
    <mergeCell ref="B713:B714"/>
    <mergeCell ref="A717:A719"/>
    <mergeCell ref="B717:B719"/>
    <mergeCell ref="A658:A661"/>
    <mergeCell ref="B658:B661"/>
    <mergeCell ref="A663:A665"/>
    <mergeCell ref="B663:B665"/>
    <mergeCell ref="A666:A669"/>
    <mergeCell ref="B666:B669"/>
    <mergeCell ref="A670:A674"/>
    <mergeCell ref="B670:B674"/>
    <mergeCell ref="A675:A678"/>
    <mergeCell ref="B675:B678"/>
    <mergeCell ref="B786:B789"/>
    <mergeCell ref="A791:A792"/>
    <mergeCell ref="B791:B792"/>
    <mergeCell ref="A723:A724"/>
    <mergeCell ref="B723:B724"/>
    <mergeCell ref="A727:A731"/>
    <mergeCell ref="B727:B731"/>
    <mergeCell ref="A735:A736"/>
    <mergeCell ref="B735:B736"/>
    <mergeCell ref="A824:A826"/>
    <mergeCell ref="B824:B826"/>
    <mergeCell ref="A801:A802"/>
    <mergeCell ref="B801:B802"/>
    <mergeCell ref="A803:A804"/>
    <mergeCell ref="B803:B804"/>
    <mergeCell ref="A805:A807"/>
    <mergeCell ref="B805:B807"/>
    <mergeCell ref="A809:A811"/>
    <mergeCell ref="B809:B811"/>
    <mergeCell ref="A814:A816"/>
    <mergeCell ref="B814:B816"/>
    <mergeCell ref="A739:A740"/>
    <mergeCell ref="B739:B740"/>
    <mergeCell ref="A747:A757"/>
    <mergeCell ref="B747:B757"/>
    <mergeCell ref="A819:A822"/>
    <mergeCell ref="B819:B822"/>
    <mergeCell ref="I81:I82"/>
    <mergeCell ref="J81:J82"/>
    <mergeCell ref="K81:K82"/>
    <mergeCell ref="H83:H86"/>
    <mergeCell ref="I83:I86"/>
    <mergeCell ref="J83:J86"/>
    <mergeCell ref="K83:K86"/>
    <mergeCell ref="P43:Q43"/>
    <mergeCell ref="P45:Q45"/>
    <mergeCell ref="P47:Q47"/>
    <mergeCell ref="P49:Q49"/>
    <mergeCell ref="P50:Q50"/>
    <mergeCell ref="P54:Q54"/>
    <mergeCell ref="P55:Q55"/>
    <mergeCell ref="P56:Q56"/>
    <mergeCell ref="P81:P82"/>
    <mergeCell ref="Q83:Q86"/>
    <mergeCell ref="Q90:Q91"/>
    <mergeCell ref="P96:Q96"/>
    <mergeCell ref="A95:A96"/>
    <mergeCell ref="B95:B96"/>
    <mergeCell ref="C95:C96"/>
    <mergeCell ref="D95:D96"/>
    <mergeCell ref="E95:E96"/>
    <mergeCell ref="F95:F96"/>
    <mergeCell ref="G95:G96"/>
    <mergeCell ref="H90:H91"/>
    <mergeCell ref="H92:H94"/>
    <mergeCell ref="I90:I91"/>
    <mergeCell ref="J90:J91"/>
    <mergeCell ref="K90:K91"/>
    <mergeCell ref="I92:I94"/>
    <mergeCell ref="J92:J94"/>
    <mergeCell ref="K92:K94"/>
    <mergeCell ref="P95:Q95"/>
    <mergeCell ref="P92:P94"/>
    <mergeCell ref="Q92:Q94"/>
    <mergeCell ref="P120:P121"/>
    <mergeCell ref="Q120:Q121"/>
    <mergeCell ref="H124:H126"/>
    <mergeCell ref="C124:C126"/>
    <mergeCell ref="D124:D126"/>
    <mergeCell ref="E124:E126"/>
    <mergeCell ref="F124:F126"/>
    <mergeCell ref="G124:G126"/>
    <mergeCell ref="I124:I126"/>
    <mergeCell ref="J124:J126"/>
    <mergeCell ref="K124:K126"/>
    <mergeCell ref="H98:H101"/>
    <mergeCell ref="I98:I101"/>
    <mergeCell ref="J98:J101"/>
    <mergeCell ref="K98:K101"/>
    <mergeCell ref="H103:H105"/>
    <mergeCell ref="I103:I105"/>
    <mergeCell ref="J103:J105"/>
    <mergeCell ref="K103:K105"/>
    <mergeCell ref="H106:H108"/>
    <mergeCell ref="I106:I108"/>
    <mergeCell ref="J106:J108"/>
    <mergeCell ref="K106:K108"/>
    <mergeCell ref="I120:I121"/>
    <mergeCell ref="H120:H121"/>
    <mergeCell ref="J120:J121"/>
    <mergeCell ref="K120:K121"/>
    <mergeCell ref="P98:P101"/>
    <mergeCell ref="Q124:Q126"/>
    <mergeCell ref="Q103:Q105"/>
    <mergeCell ref="H137:H138"/>
    <mergeCell ref="I137:I138"/>
    <mergeCell ref="J137:J138"/>
    <mergeCell ref="K137:K138"/>
    <mergeCell ref="P140:Q140"/>
    <mergeCell ref="I141:I143"/>
    <mergeCell ref="J141:J143"/>
    <mergeCell ref="K141:K143"/>
    <mergeCell ref="H145:H147"/>
    <mergeCell ref="I145:I147"/>
    <mergeCell ref="J145:J147"/>
    <mergeCell ref="K145:K147"/>
    <mergeCell ref="P127:Q127"/>
    <mergeCell ref="I128:I129"/>
    <mergeCell ref="J128:J129"/>
    <mergeCell ref="K128:K129"/>
    <mergeCell ref="H130:H131"/>
    <mergeCell ref="I130:I131"/>
    <mergeCell ref="J130:J131"/>
    <mergeCell ref="K130:K131"/>
    <mergeCell ref="H133:H135"/>
    <mergeCell ref="I133:I135"/>
    <mergeCell ref="J133:J135"/>
    <mergeCell ref="K133:K135"/>
    <mergeCell ref="P133:P135"/>
    <mergeCell ref="H161:H162"/>
    <mergeCell ref="I161:I162"/>
    <mergeCell ref="J161:J162"/>
    <mergeCell ref="K161:K162"/>
    <mergeCell ref="H163:H164"/>
    <mergeCell ref="I163:I164"/>
    <mergeCell ref="J163:J164"/>
    <mergeCell ref="K163:K164"/>
    <mergeCell ref="P165:Q165"/>
    <mergeCell ref="H150:H152"/>
    <mergeCell ref="I150:I152"/>
    <mergeCell ref="J150:J152"/>
    <mergeCell ref="K150:K152"/>
    <mergeCell ref="H155:H158"/>
    <mergeCell ref="I155:I158"/>
    <mergeCell ref="J155:J158"/>
    <mergeCell ref="K155:K158"/>
    <mergeCell ref="H159:H160"/>
    <mergeCell ref="I159:I160"/>
    <mergeCell ref="J159:J160"/>
    <mergeCell ref="K159:K160"/>
    <mergeCell ref="P153:Q153"/>
    <mergeCell ref="H176:H177"/>
    <mergeCell ref="I176:I177"/>
    <mergeCell ref="J176:J177"/>
    <mergeCell ref="K176:K177"/>
    <mergeCell ref="P178:Q178"/>
    <mergeCell ref="P180:Q180"/>
    <mergeCell ref="P181:Q181"/>
    <mergeCell ref="P185:Q185"/>
    <mergeCell ref="P186:Q186"/>
    <mergeCell ref="H166:H167"/>
    <mergeCell ref="I166:I167"/>
    <mergeCell ref="J166:J167"/>
    <mergeCell ref="K166:K167"/>
    <mergeCell ref="H168:H169"/>
    <mergeCell ref="I168:I169"/>
    <mergeCell ref="J168:J169"/>
    <mergeCell ref="K168:K169"/>
    <mergeCell ref="H173:H174"/>
    <mergeCell ref="I173:I174"/>
    <mergeCell ref="J173:J174"/>
    <mergeCell ref="K173:K174"/>
    <mergeCell ref="P175:Q175"/>
    <mergeCell ref="H207:H210"/>
    <mergeCell ref="I207:I210"/>
    <mergeCell ref="J207:J210"/>
    <mergeCell ref="K207:K210"/>
    <mergeCell ref="H212:H216"/>
    <mergeCell ref="I212:I216"/>
    <mergeCell ref="J212:J216"/>
    <mergeCell ref="K212:K216"/>
    <mergeCell ref="P212:P216"/>
    <mergeCell ref="H198:H199"/>
    <mergeCell ref="I198:I199"/>
    <mergeCell ref="J198:J199"/>
    <mergeCell ref="K198:K199"/>
    <mergeCell ref="P198:P199"/>
    <mergeCell ref="Q198:Q199"/>
    <mergeCell ref="H200:H202"/>
    <mergeCell ref="I200:I202"/>
    <mergeCell ref="J200:J202"/>
    <mergeCell ref="K200:K202"/>
    <mergeCell ref="P207:P210"/>
    <mergeCell ref="Q207:Q210"/>
    <mergeCell ref="H235:H237"/>
    <mergeCell ref="I235:I237"/>
    <mergeCell ref="J235:J237"/>
    <mergeCell ref="K235:K237"/>
    <mergeCell ref="H239:H243"/>
    <mergeCell ref="I239:I243"/>
    <mergeCell ref="J239:J243"/>
    <mergeCell ref="K239:K243"/>
    <mergeCell ref="H249:H252"/>
    <mergeCell ref="I249:I252"/>
    <mergeCell ref="J249:J252"/>
    <mergeCell ref="K249:K252"/>
    <mergeCell ref="H218:H222"/>
    <mergeCell ref="I218:I222"/>
    <mergeCell ref="J218:J222"/>
    <mergeCell ref="K218:K222"/>
    <mergeCell ref="H223:H228"/>
    <mergeCell ref="I223:I228"/>
    <mergeCell ref="J223:J228"/>
    <mergeCell ref="K223:K228"/>
    <mergeCell ref="H230:H234"/>
    <mergeCell ref="I230:I234"/>
    <mergeCell ref="J230:J234"/>
    <mergeCell ref="K230:K234"/>
    <mergeCell ref="H267:H268"/>
    <mergeCell ref="I267:I268"/>
    <mergeCell ref="J267:J268"/>
    <mergeCell ref="K267:K268"/>
    <mergeCell ref="H269:H271"/>
    <mergeCell ref="I269:I271"/>
    <mergeCell ref="J269:J271"/>
    <mergeCell ref="K269:K271"/>
    <mergeCell ref="H273:H278"/>
    <mergeCell ref="I273:I278"/>
    <mergeCell ref="J273:J278"/>
    <mergeCell ref="K273:K278"/>
    <mergeCell ref="H256:H258"/>
    <mergeCell ref="I256:I258"/>
    <mergeCell ref="J256:J258"/>
    <mergeCell ref="K256:K258"/>
    <mergeCell ref="H259:H262"/>
    <mergeCell ref="I259:I262"/>
    <mergeCell ref="J259:J262"/>
    <mergeCell ref="K259:K262"/>
    <mergeCell ref="H263:H265"/>
    <mergeCell ref="I263:I265"/>
    <mergeCell ref="J263:J265"/>
    <mergeCell ref="K263:K265"/>
    <mergeCell ref="H288:H290"/>
    <mergeCell ref="I288:I290"/>
    <mergeCell ref="J288:J290"/>
    <mergeCell ref="K288:K290"/>
    <mergeCell ref="P291:Q291"/>
    <mergeCell ref="H292:H295"/>
    <mergeCell ref="I292:I295"/>
    <mergeCell ref="J292:J295"/>
    <mergeCell ref="K292:K295"/>
    <mergeCell ref="H279:H281"/>
    <mergeCell ref="I279:I281"/>
    <mergeCell ref="J279:J281"/>
    <mergeCell ref="K279:K281"/>
    <mergeCell ref="H282:H283"/>
    <mergeCell ref="I282:I283"/>
    <mergeCell ref="J282:J283"/>
    <mergeCell ref="K282:K283"/>
    <mergeCell ref="H286:H287"/>
    <mergeCell ref="I286:I287"/>
    <mergeCell ref="J286:J287"/>
    <mergeCell ref="K286:K287"/>
    <mergeCell ref="Q284:Q287"/>
    <mergeCell ref="Q292:Q295"/>
    <mergeCell ref="C309:C311"/>
    <mergeCell ref="D309:D311"/>
    <mergeCell ref="E309:E311"/>
    <mergeCell ref="F309:F311"/>
    <mergeCell ref="G309:G311"/>
    <mergeCell ref="P312:Q312"/>
    <mergeCell ref="H313:H315"/>
    <mergeCell ref="I313:I315"/>
    <mergeCell ref="J313:J315"/>
    <mergeCell ref="K313:K315"/>
    <mergeCell ref="C299:C300"/>
    <mergeCell ref="D299:D300"/>
    <mergeCell ref="E299:E300"/>
    <mergeCell ref="F299:F300"/>
    <mergeCell ref="G299:G300"/>
    <mergeCell ref="P301:Q301"/>
    <mergeCell ref="C303:C305"/>
    <mergeCell ref="D303:D305"/>
    <mergeCell ref="E303:E305"/>
    <mergeCell ref="F303:F305"/>
    <mergeCell ref="G303:G305"/>
    <mergeCell ref="P313:P315"/>
    <mergeCell ref="Q313:Q315"/>
    <mergeCell ref="H335:H337"/>
    <mergeCell ref="I335:I337"/>
    <mergeCell ref="J335:J337"/>
    <mergeCell ref="K335:K337"/>
    <mergeCell ref="P338:Q338"/>
    <mergeCell ref="P339:Q339"/>
    <mergeCell ref="P340:Q340"/>
    <mergeCell ref="P344:Q344"/>
    <mergeCell ref="H347:H349"/>
    <mergeCell ref="I347:I349"/>
    <mergeCell ref="J347:J349"/>
    <mergeCell ref="K347:K349"/>
    <mergeCell ref="H323:H324"/>
    <mergeCell ref="I323:I324"/>
    <mergeCell ref="J323:J324"/>
    <mergeCell ref="K323:K324"/>
    <mergeCell ref="P331:Q331"/>
    <mergeCell ref="P332:P334"/>
    <mergeCell ref="H333:H334"/>
    <mergeCell ref="I333:I334"/>
    <mergeCell ref="J333:J334"/>
    <mergeCell ref="K333:K334"/>
    <mergeCell ref="P347:P349"/>
    <mergeCell ref="P335:P337"/>
    <mergeCell ref="C381:C382"/>
    <mergeCell ref="D381:D382"/>
    <mergeCell ref="E381:E382"/>
    <mergeCell ref="F381:F382"/>
    <mergeCell ref="G381:G382"/>
    <mergeCell ref="P383:Q383"/>
    <mergeCell ref="P391:Q391"/>
    <mergeCell ref="H385:H386"/>
    <mergeCell ref="I385:I386"/>
    <mergeCell ref="J385:J386"/>
    <mergeCell ref="K385:K386"/>
    <mergeCell ref="C353:C355"/>
    <mergeCell ref="D353:D355"/>
    <mergeCell ref="E353:E355"/>
    <mergeCell ref="F353:F355"/>
    <mergeCell ref="G353:G355"/>
    <mergeCell ref="P356:Q356"/>
    <mergeCell ref="P370:Q370"/>
    <mergeCell ref="C400:C401"/>
    <mergeCell ref="D400:D401"/>
    <mergeCell ref="E400:E401"/>
    <mergeCell ref="F400:F401"/>
    <mergeCell ref="G400:G401"/>
    <mergeCell ref="P402:Q402"/>
    <mergeCell ref="P404:Q404"/>
    <mergeCell ref="H394:H395"/>
    <mergeCell ref="I394:I395"/>
    <mergeCell ref="J394:J395"/>
    <mergeCell ref="K394:K395"/>
    <mergeCell ref="H396:H397"/>
    <mergeCell ref="I396:I397"/>
    <mergeCell ref="J396:J397"/>
    <mergeCell ref="K396:K397"/>
    <mergeCell ref="P400:Q401"/>
    <mergeCell ref="H453:H454"/>
    <mergeCell ref="I453:I454"/>
    <mergeCell ref="J453:J454"/>
    <mergeCell ref="K453:K454"/>
    <mergeCell ref="H457:H459"/>
    <mergeCell ref="I457:I459"/>
    <mergeCell ref="J457:J459"/>
    <mergeCell ref="K457:K459"/>
    <mergeCell ref="C407:C408"/>
    <mergeCell ref="D407:D408"/>
    <mergeCell ref="E407:E408"/>
    <mergeCell ref="F407:F408"/>
    <mergeCell ref="G407:G408"/>
    <mergeCell ref="P409:Q409"/>
    <mergeCell ref="H418:H419"/>
    <mergeCell ref="I418:I419"/>
    <mergeCell ref="J418:J419"/>
    <mergeCell ref="K418:K419"/>
    <mergeCell ref="Q452:Q454"/>
    <mergeCell ref="P456:P459"/>
    <mergeCell ref="P452:P454"/>
    <mergeCell ref="Q456:Q459"/>
    <mergeCell ref="P438:Q438"/>
    <mergeCell ref="H474:H478"/>
    <mergeCell ref="I474:I478"/>
    <mergeCell ref="J474:J478"/>
    <mergeCell ref="K474:K478"/>
    <mergeCell ref="P480:Q480"/>
    <mergeCell ref="P481:Q481"/>
    <mergeCell ref="H488:H490"/>
    <mergeCell ref="I488:I490"/>
    <mergeCell ref="J488:J490"/>
    <mergeCell ref="K488:K490"/>
    <mergeCell ref="I460:I462"/>
    <mergeCell ref="J460:J462"/>
    <mergeCell ref="K460:K462"/>
    <mergeCell ref="H464:H467"/>
    <mergeCell ref="I464:I467"/>
    <mergeCell ref="J464:J467"/>
    <mergeCell ref="K464:K467"/>
    <mergeCell ref="P468:Q468"/>
    <mergeCell ref="P469:Q469"/>
    <mergeCell ref="P464:P467"/>
    <mergeCell ref="Q464:Q467"/>
    <mergeCell ref="P470:P478"/>
    <mergeCell ref="Q470:Q478"/>
    <mergeCell ref="P482:P490"/>
    <mergeCell ref="Q482:Q490"/>
    <mergeCell ref="I511:I514"/>
    <mergeCell ref="J511:J514"/>
    <mergeCell ref="K511:K514"/>
    <mergeCell ref="H524:H527"/>
    <mergeCell ref="I524:I527"/>
    <mergeCell ref="J524:J527"/>
    <mergeCell ref="K524:K527"/>
    <mergeCell ref="H530:H532"/>
    <mergeCell ref="I530:I532"/>
    <mergeCell ref="J530:J532"/>
    <mergeCell ref="K530:K532"/>
    <mergeCell ref="H491:H493"/>
    <mergeCell ref="I491:I493"/>
    <mergeCell ref="J491:J493"/>
    <mergeCell ref="K491:K493"/>
    <mergeCell ref="P494:Q494"/>
    <mergeCell ref="P497:Q497"/>
    <mergeCell ref="H506:H510"/>
    <mergeCell ref="I506:I510"/>
    <mergeCell ref="J506:J510"/>
    <mergeCell ref="K506:K510"/>
    <mergeCell ref="H502:H504"/>
    <mergeCell ref="I502:I504"/>
    <mergeCell ref="J502:J504"/>
    <mergeCell ref="K502:K504"/>
    <mergeCell ref="H511:H514"/>
    <mergeCell ref="P502:P504"/>
    <mergeCell ref="P491:P493"/>
    <mergeCell ref="Q491:Q493"/>
    <mergeCell ref="Q502:Q504"/>
    <mergeCell ref="P506:P510"/>
    <mergeCell ref="Q506:Q510"/>
    <mergeCell ref="H547:H549"/>
    <mergeCell ref="I547:I549"/>
    <mergeCell ref="J547:J549"/>
    <mergeCell ref="K547:K549"/>
    <mergeCell ref="P551:Q553"/>
    <mergeCell ref="A551:A553"/>
    <mergeCell ref="B551:B553"/>
    <mergeCell ref="C551:C553"/>
    <mergeCell ref="D551:D553"/>
    <mergeCell ref="E551:E553"/>
    <mergeCell ref="F551:F553"/>
    <mergeCell ref="G551:G553"/>
    <mergeCell ref="H534:H535"/>
    <mergeCell ref="I534:I535"/>
    <mergeCell ref="J534:J535"/>
    <mergeCell ref="K534:K535"/>
    <mergeCell ref="P537:Q537"/>
    <mergeCell ref="P538:Q538"/>
    <mergeCell ref="P539:Q539"/>
    <mergeCell ref="H541:H542"/>
    <mergeCell ref="I541:I542"/>
    <mergeCell ref="J541:J542"/>
    <mergeCell ref="K541:K542"/>
    <mergeCell ref="P533:P535"/>
    <mergeCell ref="A533:A535"/>
    <mergeCell ref="B533:B535"/>
    <mergeCell ref="A541:A542"/>
    <mergeCell ref="B541:B542"/>
    <mergeCell ref="A543:A544"/>
    <mergeCell ref="B543:B544"/>
    <mergeCell ref="A546:A549"/>
    <mergeCell ref="B546:B549"/>
    <mergeCell ref="H568:H569"/>
    <mergeCell ref="I568:I569"/>
    <mergeCell ref="J568:J569"/>
    <mergeCell ref="K568:K569"/>
    <mergeCell ref="P570:Q570"/>
    <mergeCell ref="H571:H575"/>
    <mergeCell ref="I571:I575"/>
    <mergeCell ref="J571:J575"/>
    <mergeCell ref="K571:K575"/>
    <mergeCell ref="H555:H560"/>
    <mergeCell ref="I555:I560"/>
    <mergeCell ref="J555:J560"/>
    <mergeCell ref="K555:K560"/>
    <mergeCell ref="H561:H562"/>
    <mergeCell ref="I561:I562"/>
    <mergeCell ref="J561:J562"/>
    <mergeCell ref="K561:K562"/>
    <mergeCell ref="H563:H566"/>
    <mergeCell ref="I563:I566"/>
    <mergeCell ref="J563:J566"/>
    <mergeCell ref="K563:K566"/>
    <mergeCell ref="P555:P560"/>
    <mergeCell ref="Q555:Q560"/>
    <mergeCell ref="P571:P575"/>
    <mergeCell ref="Q571:Q575"/>
    <mergeCell ref="P567:Q567"/>
    <mergeCell ref="P568:P569"/>
    <mergeCell ref="Q568:Q569"/>
    <mergeCell ref="C605:C607"/>
    <mergeCell ref="D605:D607"/>
    <mergeCell ref="E605:E607"/>
    <mergeCell ref="F605:F607"/>
    <mergeCell ref="G605:G607"/>
    <mergeCell ref="P605:Q607"/>
    <mergeCell ref="P608:Q608"/>
    <mergeCell ref="H595:H596"/>
    <mergeCell ref="I595:I596"/>
    <mergeCell ref="J595:J596"/>
    <mergeCell ref="K595:K596"/>
    <mergeCell ref="H597:H600"/>
    <mergeCell ref="I597:I600"/>
    <mergeCell ref="J597:J600"/>
    <mergeCell ref="K597:K600"/>
    <mergeCell ref="H601:H603"/>
    <mergeCell ref="I601:I603"/>
    <mergeCell ref="J601:J603"/>
    <mergeCell ref="K601:K603"/>
    <mergeCell ref="P595:P596"/>
    <mergeCell ref="Q595:Q596"/>
    <mergeCell ref="P597:P600"/>
    <mergeCell ref="Q597:Q600"/>
    <mergeCell ref="P601:P603"/>
    <mergeCell ref="Q601:Q603"/>
    <mergeCell ref="H646:H647"/>
    <mergeCell ref="I646:I647"/>
    <mergeCell ref="J646:J647"/>
    <mergeCell ref="K646:K647"/>
    <mergeCell ref="H653:H656"/>
    <mergeCell ref="I653:I656"/>
    <mergeCell ref="J653:J656"/>
    <mergeCell ref="K653:K656"/>
    <mergeCell ref="H664:H665"/>
    <mergeCell ref="I664:I665"/>
    <mergeCell ref="J664:J665"/>
    <mergeCell ref="K664:K665"/>
    <mergeCell ref="H617:H624"/>
    <mergeCell ref="I617:I624"/>
    <mergeCell ref="J617:J624"/>
    <mergeCell ref="K617:K624"/>
    <mergeCell ref="H629:H636"/>
    <mergeCell ref="I629:I636"/>
    <mergeCell ref="J629:J636"/>
    <mergeCell ref="K629:K636"/>
    <mergeCell ref="H638:H644"/>
    <mergeCell ref="I638:I644"/>
    <mergeCell ref="J638:J644"/>
    <mergeCell ref="K638:K644"/>
    <mergeCell ref="H692:H693"/>
    <mergeCell ref="I692:I693"/>
    <mergeCell ref="J692:J693"/>
    <mergeCell ref="K692:K693"/>
    <mergeCell ref="P692:P693"/>
    <mergeCell ref="Q692:Q693"/>
    <mergeCell ref="H696:H698"/>
    <mergeCell ref="I696:I698"/>
    <mergeCell ref="J696:J698"/>
    <mergeCell ref="K696:K698"/>
    <mergeCell ref="H671:H674"/>
    <mergeCell ref="I671:I674"/>
    <mergeCell ref="J671:J674"/>
    <mergeCell ref="K671:K674"/>
    <mergeCell ref="P680:Q680"/>
    <mergeCell ref="H685:H688"/>
    <mergeCell ref="I685:I688"/>
    <mergeCell ref="J685:J688"/>
    <mergeCell ref="K685:K688"/>
    <mergeCell ref="H681:H682"/>
    <mergeCell ref="I681:I682"/>
    <mergeCell ref="J681:J682"/>
    <mergeCell ref="K681:K682"/>
    <mergeCell ref="P671:P674"/>
    <mergeCell ref="Q671:Q674"/>
    <mergeCell ref="P685:P688"/>
    <mergeCell ref="Q685:Q688"/>
    <mergeCell ref="P696:P698"/>
    <mergeCell ref="Q696:Q698"/>
    <mergeCell ref="H723:H724"/>
    <mergeCell ref="I723:I724"/>
    <mergeCell ref="J723:J724"/>
    <mergeCell ref="K723:K724"/>
    <mergeCell ref="P726:Q726"/>
    <mergeCell ref="H727:H731"/>
    <mergeCell ref="I727:I731"/>
    <mergeCell ref="J727:J731"/>
    <mergeCell ref="K727:K731"/>
    <mergeCell ref="H713:H714"/>
    <mergeCell ref="I713:I714"/>
    <mergeCell ref="J713:J714"/>
    <mergeCell ref="K713:K714"/>
    <mergeCell ref="P715:Q715"/>
    <mergeCell ref="H718:H719"/>
    <mergeCell ref="I718:I719"/>
    <mergeCell ref="J718:J719"/>
    <mergeCell ref="K718:K719"/>
    <mergeCell ref="P716:Q716"/>
    <mergeCell ref="P718:P719"/>
    <mergeCell ref="Q718:Q719"/>
    <mergeCell ref="P723:P724"/>
    <mergeCell ref="Q723:Q724"/>
    <mergeCell ref="P727:P731"/>
    <mergeCell ref="Q727:Q731"/>
    <mergeCell ref="H778:H779"/>
    <mergeCell ref="I778:I779"/>
    <mergeCell ref="J778:J779"/>
    <mergeCell ref="K778:K779"/>
    <mergeCell ref="P778:P779"/>
    <mergeCell ref="Q778:Q779"/>
    <mergeCell ref="P784:Q784"/>
    <mergeCell ref="H786:H789"/>
    <mergeCell ref="I786:I789"/>
    <mergeCell ref="J786:J789"/>
    <mergeCell ref="K786:K789"/>
    <mergeCell ref="H735:H736"/>
    <mergeCell ref="I735:I736"/>
    <mergeCell ref="J735:J736"/>
    <mergeCell ref="K735:K736"/>
    <mergeCell ref="P742:Q742"/>
    <mergeCell ref="A743:A745"/>
    <mergeCell ref="B743:B745"/>
    <mergeCell ref="C743:C745"/>
    <mergeCell ref="D743:D745"/>
    <mergeCell ref="E743:E745"/>
    <mergeCell ref="F743:F745"/>
    <mergeCell ref="G743:G745"/>
    <mergeCell ref="P743:P745"/>
    <mergeCell ref="Q743:Q745"/>
    <mergeCell ref="A758:A759"/>
    <mergeCell ref="B758:B759"/>
    <mergeCell ref="A778:A779"/>
    <mergeCell ref="B778:B779"/>
    <mergeCell ref="A780:A781"/>
    <mergeCell ref="B780:B781"/>
    <mergeCell ref="A786:A789"/>
    <mergeCell ref="K815:K816"/>
    <mergeCell ref="H819:H822"/>
    <mergeCell ref="I819:I822"/>
    <mergeCell ref="J819:J822"/>
    <mergeCell ref="K819:K822"/>
    <mergeCell ref="J791:J792"/>
    <mergeCell ref="K791:K792"/>
    <mergeCell ref="P793:Q793"/>
    <mergeCell ref="Q795:Q796"/>
    <mergeCell ref="P795:P796"/>
    <mergeCell ref="A795:A796"/>
    <mergeCell ref="B795:B796"/>
    <mergeCell ref="C795:C796"/>
    <mergeCell ref="D795:D796"/>
    <mergeCell ref="E795:E796"/>
    <mergeCell ref="F795:F796"/>
    <mergeCell ref="H791:H792"/>
    <mergeCell ref="C791:C792"/>
    <mergeCell ref="D791:D792"/>
    <mergeCell ref="E791:E792"/>
    <mergeCell ref="F791:F792"/>
    <mergeCell ref="G791:G792"/>
    <mergeCell ref="I791:I792"/>
    <mergeCell ref="P791:P792"/>
    <mergeCell ref="Q791:Q792"/>
    <mergeCell ref="P801:P802"/>
    <mergeCell ref="Q801:Q802"/>
    <mergeCell ref="P805:P807"/>
    <mergeCell ref="Q805:Q807"/>
    <mergeCell ref="P797:Q797"/>
    <mergeCell ref="P800:Q800"/>
    <mergeCell ref="P823:Q823"/>
    <mergeCell ref="H805:H807"/>
    <mergeCell ref="I805:I807"/>
    <mergeCell ref="J805:J807"/>
    <mergeCell ref="K805:K807"/>
    <mergeCell ref="P824:P826"/>
    <mergeCell ref="Q824:Q826"/>
    <mergeCell ref="P819:P822"/>
    <mergeCell ref="Q819:Q822"/>
    <mergeCell ref="P812:Q812"/>
    <mergeCell ref="P813:Q813"/>
    <mergeCell ref="C809:C811"/>
    <mergeCell ref="D809:D811"/>
    <mergeCell ref="E809:E811"/>
    <mergeCell ref="F809:F811"/>
    <mergeCell ref="G809:G811"/>
    <mergeCell ref="H801:H802"/>
    <mergeCell ref="I801:I802"/>
    <mergeCell ref="J801:J802"/>
    <mergeCell ref="K801:K802"/>
    <mergeCell ref="C803:C804"/>
    <mergeCell ref="D803:D804"/>
    <mergeCell ref="E803:E804"/>
    <mergeCell ref="F803:F804"/>
    <mergeCell ref="G803:G804"/>
    <mergeCell ref="H824:H826"/>
    <mergeCell ref="I824:I826"/>
    <mergeCell ref="J824:J826"/>
    <mergeCell ref="K824:K826"/>
    <mergeCell ref="H815:H816"/>
    <mergeCell ref="I815:I816"/>
    <mergeCell ref="J815:J816"/>
  </mergeCells>
  <pageMargins left="0.4" right="0.4" top="0.4" bottom="0.4" header="0.51180555555555496" footer="0.51180555555555496"/>
  <pageSetup paperSize="9"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Planas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mindaugas jozonis</dc:creator>
  <cp:lastModifiedBy>Siauliai</cp:lastModifiedBy>
  <cp:revision>0</cp:revision>
  <cp:lastPrinted>2022-03-25T06:10:38Z</cp:lastPrinted>
  <dcterms:created xsi:type="dcterms:W3CDTF">2022-01-26T10:47:29Z</dcterms:created>
  <dcterms:modified xsi:type="dcterms:W3CDTF">2022-05-23T06:34:17Z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ecurity">
    <vt:i4>0</vt:i4>
  </property>
  <property fmtid="{D5CDD505-2E9C-101B-9397-08002B2CF9AE}" pid="3" name="ScaleCrop">
    <vt:bool>false</vt:bool>
  </property>
</Properties>
</file>